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Самараинвестнефть\170323 КС 2\"/>
    </mc:Choice>
  </mc:AlternateContent>
  <xr:revisionPtr revIDLastSave="0" documentId="13_ncr:1_{F8BC2382-63AA-471C-AF21-6714B1FCB1F2}" xr6:coauthVersionLast="36" xr6:coauthVersionMax="36" xr10:uidLastSave="{00000000-0000-0000-0000-000000000000}"/>
  <bookViews>
    <workbookView xWindow="480" yWindow="43" windowWidth="11477" windowHeight="11563" xr2:uid="{00000000-000D-0000-FFFF-FFFF00000000}"/>
  </bookViews>
  <sheets>
    <sheet name="Техническое задание" sheetId="1" r:id="rId1"/>
  </sheets>
  <definedNames>
    <definedName name="_xlnm._FilterDatabase" localSheetId="0" hidden="1">'Техническое задание'!$A$2:$A$901</definedName>
    <definedName name="_xlnm.Print_Titles" localSheetId="0">'Техническое задание'!$27:$28</definedName>
    <definedName name="_xlnm.Print_Area" localSheetId="0">'Техническое задание'!$A$2:$E$933</definedName>
  </definedNames>
  <calcPr calcId="191029"/>
</workbook>
</file>

<file path=xl/calcChain.xml><?xml version="1.0" encoding="utf-8"?>
<calcChain xmlns="http://schemas.openxmlformats.org/spreadsheetml/2006/main">
  <c r="D787" i="1" l="1"/>
  <c r="D648" i="1"/>
  <c r="D768" i="1"/>
  <c r="D761" i="1"/>
  <c r="D762" i="1"/>
  <c r="D763" i="1"/>
  <c r="D779" i="1"/>
  <c r="D778" i="1"/>
  <c r="D777" i="1"/>
  <c r="D776" i="1"/>
  <c r="D775" i="1"/>
  <c r="D774" i="1"/>
  <c r="D773" i="1"/>
  <c r="D731" i="1" l="1"/>
  <c r="D730" i="1"/>
  <c r="D729" i="1"/>
  <c r="D706" i="1"/>
  <c r="D699" i="1"/>
  <c r="D700" i="1"/>
  <c r="D701" i="1"/>
  <c r="D679" i="1"/>
  <c r="D674" i="1"/>
  <c r="D672" i="1"/>
  <c r="D673" i="1"/>
  <c r="D650" i="1"/>
  <c r="D613" i="1"/>
  <c r="D642" i="1"/>
  <c r="D644" i="1"/>
  <c r="D643" i="1"/>
  <c r="D645" i="1"/>
  <c r="D619" i="1"/>
  <c r="D621" i="1"/>
  <c r="D616" i="1"/>
  <c r="D615" i="1"/>
  <c r="D614" i="1"/>
  <c r="D590" i="1" l="1"/>
  <c r="D584" i="1"/>
  <c r="D587" i="1"/>
  <c r="D592" i="1"/>
  <c r="D586" i="1"/>
  <c r="D585" i="1"/>
  <c r="D571" i="1"/>
  <c r="D570" i="1"/>
  <c r="D568" i="1"/>
  <c r="D553" i="1"/>
  <c r="D555" i="1"/>
  <c r="D475" i="1"/>
  <c r="D462" i="1"/>
  <c r="D461" i="1"/>
  <c r="D453" i="1"/>
  <c r="D435" i="1"/>
  <c r="D429" i="1"/>
  <c r="D427" i="1"/>
  <c r="D419" i="1"/>
  <c r="D410" i="1"/>
  <c r="D408" i="1"/>
  <c r="D398" i="1"/>
  <c r="D396" i="1"/>
  <c r="D384" i="1"/>
  <c r="D382" i="1"/>
  <c r="D313" i="1"/>
  <c r="D301" i="1"/>
  <c r="D300" i="1"/>
  <c r="D299" i="1"/>
  <c r="D298" i="1"/>
  <c r="D289" i="1"/>
  <c r="D288" i="1"/>
  <c r="D273" i="1"/>
  <c r="D272" i="1"/>
  <c r="D271" i="1"/>
  <c r="D270" i="1"/>
  <c r="D269" i="1"/>
  <c r="D268" i="1"/>
  <c r="D257" i="1"/>
  <c r="D248" i="1"/>
  <c r="D247" i="1"/>
  <c r="D235" i="1"/>
  <c r="D234" i="1"/>
  <c r="D219" i="1"/>
  <c r="D217" i="1"/>
  <c r="D106" i="1"/>
  <c r="D107" i="1"/>
  <c r="D108" i="1"/>
  <c r="D101" i="1"/>
  <c r="D96" i="1"/>
  <c r="D55" i="1"/>
  <c r="D83" i="1"/>
  <c r="D66" i="1"/>
  <c r="D67" i="1"/>
  <c r="D61" i="1" l="1"/>
  <c r="A32" i="1" l="1"/>
  <c r="D888" i="1" l="1"/>
  <c r="D887" i="1"/>
  <c r="D896" i="1"/>
  <c r="D895" i="1"/>
  <c r="D894" i="1"/>
  <c r="D893" i="1"/>
  <c r="D892" i="1"/>
  <c r="D818" i="1"/>
  <c r="D865" i="1"/>
  <c r="D864" i="1"/>
  <c r="D863" i="1"/>
  <c r="D862" i="1"/>
  <c r="D861" i="1"/>
  <c r="D847" i="1"/>
  <c r="D846" i="1"/>
  <c r="D844" i="1"/>
  <c r="D843" i="1"/>
  <c r="D841" i="1"/>
  <c r="D840" i="1"/>
  <c r="D852" i="1"/>
  <c r="D851" i="1"/>
  <c r="D817" i="1"/>
  <c r="D816" i="1"/>
  <c r="D815" i="1"/>
  <c r="D814" i="1"/>
  <c r="E813" i="1"/>
  <c r="E812" i="1"/>
  <c r="E811" i="1"/>
  <c r="E810" i="1"/>
  <c r="D806" i="1"/>
  <c r="D807" i="1"/>
  <c r="D803" i="1"/>
  <c r="D802" i="1"/>
  <c r="D800" i="1" l="1"/>
  <c r="D799" i="1"/>
  <c r="D797" i="1"/>
  <c r="D796" i="1"/>
  <c r="D792" i="1"/>
  <c r="D791" i="1"/>
  <c r="D790" i="1"/>
  <c r="D789" i="1"/>
  <c r="D788" i="1"/>
  <c r="D786" i="1" l="1"/>
  <c r="D609" i="1"/>
  <c r="D608" i="1"/>
  <c r="D607" i="1"/>
  <c r="D606" i="1"/>
  <c r="D605" i="1"/>
  <c r="D638" i="1"/>
  <c r="D637" i="1"/>
  <c r="D636" i="1"/>
  <c r="D635" i="1"/>
  <c r="D634" i="1"/>
  <c r="D667" i="1"/>
  <c r="D666" i="1"/>
  <c r="D665" i="1"/>
  <c r="D664" i="1"/>
  <c r="D663" i="1"/>
  <c r="D694" i="1"/>
  <c r="D693" i="1"/>
  <c r="D692" i="1"/>
  <c r="D691" i="1"/>
  <c r="D690" i="1"/>
  <c r="D722" i="1" l="1"/>
  <c r="D721" i="1"/>
  <c r="D720" i="1"/>
  <c r="D719" i="1"/>
  <c r="D718" i="1"/>
  <c r="D784" i="1"/>
  <c r="D783" i="1"/>
  <c r="D782" i="1"/>
  <c r="D781" i="1"/>
  <c r="D780" i="1"/>
  <c r="E767" i="1"/>
  <c r="D753" i="1"/>
  <c r="D749" i="1"/>
  <c r="D737" i="1"/>
  <c r="D733" i="1"/>
  <c r="E705" i="1"/>
  <c r="E678" i="1"/>
  <c r="D678" i="1"/>
  <c r="E649" i="1"/>
  <c r="D649" i="1"/>
  <c r="E620" i="1"/>
  <c r="D620" i="1"/>
  <c r="D413" i="1" l="1"/>
  <c r="D412" i="1"/>
  <c r="D409" i="1"/>
  <c r="D404" i="1"/>
  <c r="E591" i="1" l="1"/>
  <c r="D591" i="1"/>
  <c r="D588" i="1"/>
  <c r="D567" i="1"/>
  <c r="D569" i="1"/>
  <c r="D572" i="1"/>
  <c r="D532" i="1" l="1"/>
  <c r="D531" i="1"/>
  <c r="D530" i="1"/>
  <c r="D529" i="1"/>
  <c r="D528" i="1"/>
  <c r="D519" i="1"/>
  <c r="D511" i="1"/>
  <c r="D508" i="1"/>
  <c r="D487" i="1" l="1"/>
  <c r="D486" i="1"/>
  <c r="D485" i="1"/>
  <c r="D484" i="1"/>
  <c r="D483" i="1"/>
  <c r="D476" i="1"/>
  <c r="D472" i="1"/>
  <c r="D470" i="1"/>
  <c r="D469" i="1"/>
  <c r="D468" i="1"/>
  <c r="D467" i="1"/>
  <c r="D466" i="1"/>
  <c r="D457" i="1"/>
  <c r="D451" i="1"/>
  <c r="D450" i="1"/>
  <c r="D447" i="1"/>
  <c r="D443" i="1"/>
  <c r="D436" i="1" l="1"/>
  <c r="D433" i="1"/>
  <c r="D432" i="1"/>
  <c r="D421" i="1" l="1"/>
  <c r="D417" i="1"/>
  <c r="D416" i="1"/>
  <c r="D394" i="1"/>
  <c r="D393" i="1"/>
  <c r="D359" i="1" l="1"/>
  <c r="D350" i="1"/>
  <c r="D345" i="1"/>
  <c r="D342" i="1"/>
  <c r="D336" i="1"/>
  <c r="D33" i="1" l="1"/>
  <c r="D32" i="1"/>
  <c r="D319" i="1"/>
  <c r="D306" i="1"/>
  <c r="D302" i="1"/>
  <c r="D303" i="1"/>
  <c r="D304" i="1"/>
  <c r="D305" i="1"/>
  <c r="D297" i="1"/>
  <c r="D281" i="1" l="1"/>
  <c r="D280" i="1"/>
  <c r="D279" i="1"/>
  <c r="D278" i="1"/>
  <c r="D277" i="1"/>
  <c r="D267" i="1"/>
  <c r="D295" i="1"/>
  <c r="D291" i="1"/>
  <c r="D285" i="1"/>
  <c r="D264" i="1"/>
  <c r="D263" i="1"/>
  <c r="D262" i="1"/>
  <c r="D261" i="1"/>
  <c r="D260" i="1"/>
  <c r="D258" i="1"/>
  <c r="D254" i="1"/>
  <c r="D250" i="1"/>
  <c r="A136" i="1" l="1"/>
  <c r="D134" i="1"/>
  <c r="D133" i="1"/>
  <c r="D132" i="1"/>
  <c r="D128" i="1"/>
  <c r="D119" i="1"/>
  <c r="D118" i="1"/>
  <c r="D117" i="1"/>
  <c r="D114" i="1"/>
  <c r="D112" i="1"/>
  <c r="D111" i="1"/>
  <c r="D110" i="1"/>
  <c r="D100" i="1"/>
  <c r="D98" i="1"/>
  <c r="D241" i="1" l="1"/>
  <c r="D240" i="1"/>
  <c r="D230" i="1"/>
  <c r="D152" i="1" l="1"/>
  <c r="D151" i="1"/>
  <c r="D150" i="1"/>
  <c r="D149" i="1"/>
  <c r="D148" i="1"/>
  <c r="D144" i="1"/>
  <c r="D188" i="1" l="1"/>
  <c r="D175" i="1" l="1"/>
  <c r="D172" i="1"/>
  <c r="D167" i="1"/>
  <c r="D89" i="1" l="1"/>
  <c r="D88" i="1"/>
  <c r="D87" i="1"/>
  <c r="D86" i="1"/>
  <c r="D85" i="1"/>
  <c r="D73" i="1"/>
  <c r="D71" i="1"/>
  <c r="D70" i="1"/>
  <c r="D69" i="1"/>
  <c r="D78" i="1"/>
  <c r="D30" i="1" s="1"/>
  <c r="D60" i="1" l="1"/>
  <c r="D58" i="1" l="1"/>
  <c r="D49" i="1" l="1"/>
  <c r="D48" i="1"/>
  <c r="D47" i="1"/>
  <c r="D46" i="1"/>
  <c r="D45" i="1"/>
  <c r="D39" i="1"/>
  <c r="D38" i="1"/>
  <c r="D37" i="1" l="1"/>
  <c r="A33" i="1" l="1"/>
  <c r="A34" i="1" s="1"/>
  <c r="A37" i="1" s="1"/>
  <c r="A38" i="1" l="1"/>
  <c r="A40" i="1" s="1"/>
  <c r="A42" i="1" s="1"/>
  <c r="A44" i="1" s="1"/>
  <c r="A48" i="1" s="1"/>
  <c r="A50" i="1" s="1"/>
  <c r="A51" i="1" s="1"/>
  <c r="A54" i="1" s="1"/>
  <c r="A58" i="1" s="1"/>
  <c r="A60" i="1" s="1"/>
  <c r="A63" i="1" s="1"/>
  <c r="A65" i="1" s="1"/>
  <c r="A68" i="1" s="1"/>
  <c r="A69" i="1" l="1"/>
  <c r="A70" i="1" s="1"/>
  <c r="A71" i="1" s="1"/>
  <c r="A72" i="1" s="1"/>
  <c r="A75" i="1" s="1"/>
  <c r="A77" i="1" s="1"/>
  <c r="A80" i="1" s="1"/>
  <c r="A82" i="1" l="1"/>
  <c r="A84" i="1" s="1"/>
  <c r="A85" i="1" s="1"/>
  <c r="A86" i="1" s="1"/>
  <c r="A87" i="1" s="1"/>
  <c r="A88" i="1" s="1"/>
  <c r="A92" i="1" s="1"/>
  <c r="A95" i="1" s="1"/>
  <c r="A98" i="1" s="1"/>
  <c r="A100" i="1" s="1"/>
  <c r="A103" i="1" s="1"/>
  <c r="A138" i="1"/>
  <c r="A139" i="1" s="1"/>
  <c r="A141" i="1" l="1"/>
  <c r="A143" i="1" s="1"/>
  <c r="A146" i="1" s="1"/>
  <c r="A148" i="1" s="1"/>
  <c r="A149" i="1" s="1"/>
  <c r="A150" i="1" s="1"/>
  <c r="A151" i="1" s="1"/>
  <c r="A153" i="1" s="1"/>
  <c r="A155" i="1" s="1"/>
  <c r="A156" i="1" s="1"/>
  <c r="A157" i="1" s="1"/>
  <c r="A158" i="1" s="1"/>
  <c r="A159" i="1" s="1"/>
  <c r="A160" i="1" s="1"/>
  <c r="A162" i="1" s="1"/>
  <c r="A163" i="1" s="1"/>
  <c r="A166" i="1" s="1"/>
  <c r="A171" i="1" s="1"/>
  <c r="A174" i="1" s="1"/>
  <c r="A179" i="1" s="1"/>
  <c r="A182" i="1" s="1"/>
  <c r="A184" i="1" s="1"/>
  <c r="A185" i="1" s="1"/>
  <c r="A186" i="1" s="1"/>
  <c r="A187" i="1" s="1"/>
  <c r="A189" i="1" s="1"/>
  <c r="A109" i="1"/>
  <c r="A110" i="1" s="1"/>
  <c r="A111" i="1" s="1"/>
  <c r="A112" i="1" s="1"/>
  <c r="A113" i="1" s="1"/>
  <c r="A117" i="1" s="1"/>
  <c r="A118" i="1" s="1"/>
  <c r="A120" i="1" s="1"/>
  <c r="A122" i="1" s="1"/>
  <c r="A124" i="1" s="1"/>
  <c r="A125" i="1" s="1"/>
  <c r="A127" i="1" s="1"/>
  <c r="A105" i="1"/>
  <c r="A191" i="1" l="1"/>
  <c r="A194" i="1" s="1"/>
  <c r="A197" i="1" s="1"/>
  <c r="A200" i="1" l="1"/>
  <c r="A203" i="1" s="1"/>
  <c r="A205" i="1" s="1"/>
  <c r="A207" i="1" l="1"/>
  <c r="A209" i="1" s="1"/>
  <c r="A212" i="1" s="1"/>
  <c r="A216" i="1" s="1"/>
  <c r="A218" i="1" s="1"/>
  <c r="A220" i="1" s="1"/>
  <c r="A226" i="1" s="1"/>
  <c r="A227" i="1" s="1"/>
  <c r="A230" i="1" s="1"/>
  <c r="A231" i="1" s="1"/>
  <c r="A233" i="1" s="1"/>
  <c r="A237" i="1" s="1"/>
  <c r="A239" i="1" l="1"/>
  <c r="A240" i="1" s="1"/>
  <c r="A244" i="1" s="1"/>
  <c r="A246" i="1" l="1"/>
  <c r="A249" i="1" s="1"/>
  <c r="A250" i="1" s="1"/>
  <c r="A251" i="1" s="1"/>
  <c r="A252" i="1" s="1"/>
  <c r="A253" i="1" s="1"/>
  <c r="A256" i="1" l="1"/>
  <c r="A259" i="1" s="1"/>
  <c r="A260" i="1" s="1"/>
  <c r="A261" i="1" s="1"/>
  <c r="A262" i="1" s="1"/>
  <c r="A263" i="1" s="1"/>
  <c r="A267" i="1" s="1"/>
  <c r="A274" i="1" l="1"/>
  <c r="A275" i="1" s="1"/>
  <c r="A277" i="1" s="1"/>
  <c r="A278" i="1" s="1"/>
  <c r="A279" i="1" s="1"/>
  <c r="A280" i="1" s="1"/>
  <c r="A283" i="1" s="1"/>
  <c r="A285" i="1" s="1"/>
  <c r="A287" i="1" s="1"/>
  <c r="A290" i="1" s="1"/>
  <c r="A291" i="1" s="1"/>
  <c r="A292" i="1" s="1"/>
  <c r="A293" i="1" s="1"/>
  <c r="A294" i="1" s="1"/>
  <c r="A297" i="1" l="1"/>
  <c r="A302" i="1" l="1"/>
  <c r="A303" i="1" s="1"/>
  <c r="A304" i="1" s="1"/>
  <c r="A305" i="1" s="1"/>
  <c r="A308" i="1" s="1"/>
  <c r="A310" i="1" s="1"/>
  <c r="A312" i="1" s="1"/>
  <c r="A316" i="1" s="1"/>
  <c r="A318" i="1" s="1"/>
  <c r="A322" i="1" s="1"/>
  <c r="A324" i="1" s="1"/>
  <c r="A325" i="1" s="1"/>
  <c r="A326" i="1" l="1"/>
  <c r="A328" i="1"/>
  <c r="A331" i="1" s="1"/>
  <c r="A333" i="1" s="1"/>
  <c r="A335" i="1" s="1"/>
  <c r="A341" i="1" s="1"/>
  <c r="A344" i="1" l="1"/>
  <c r="A349" i="1" s="1"/>
  <c r="A351" i="1" s="1"/>
  <c r="A355" i="1" s="1"/>
  <c r="A356" i="1" s="1"/>
  <c r="A357" i="1" s="1"/>
  <c r="A358" i="1" s="1"/>
  <c r="A360" i="1" l="1"/>
  <c r="A363" i="1" s="1"/>
  <c r="A366" i="1" s="1"/>
  <c r="A369" i="1" s="1"/>
  <c r="A372" i="1" s="1"/>
  <c r="A374" i="1" s="1"/>
  <c r="A377" i="1" s="1"/>
  <c r="A381" i="1" s="1"/>
  <c r="A383" i="1" s="1"/>
  <c r="A385" i="1" s="1"/>
  <c r="A393" i="1" s="1"/>
  <c r="A394" i="1" s="1"/>
  <c r="A395" i="1" s="1"/>
  <c r="A397" i="1" s="1"/>
  <c r="A399" i="1" s="1"/>
  <c r="A401" i="1" l="1"/>
  <c r="A404" i="1" s="1"/>
  <c r="A405" i="1" s="1"/>
  <c r="A407" i="1" s="1"/>
  <c r="A411" i="1" s="1"/>
  <c r="A412" i="1" s="1"/>
  <c r="A416" i="1" s="1"/>
  <c r="A417" i="1" l="1"/>
  <c r="A418" i="1" s="1"/>
  <c r="A420" i="1" s="1"/>
  <c r="A422" i="1" s="1"/>
  <c r="A426" i="1" l="1"/>
  <c r="A428" i="1" s="1"/>
  <c r="A432" i="1" s="1"/>
  <c r="A433" i="1" s="1"/>
  <c r="A434" i="1" s="1"/>
  <c r="A436" i="1" s="1"/>
  <c r="A438" i="1" s="1"/>
  <c r="A443" i="1" s="1"/>
  <c r="A444" i="1" s="1"/>
  <c r="A445" i="1" s="1"/>
  <c r="A446" i="1" s="1"/>
  <c r="A448" i="1" s="1"/>
  <c r="A449" i="1" s="1"/>
  <c r="A450" i="1" s="1"/>
  <c r="A452" i="1" s="1"/>
  <c r="A454" i="1" s="1"/>
  <c r="A455" i="1" s="1"/>
  <c r="A457" i="1" s="1"/>
  <c r="A460" i="1" l="1"/>
  <c r="A463" i="1" s="1"/>
  <c r="A464" i="1" s="1"/>
  <c r="A466" i="1" s="1"/>
  <c r="A467" i="1" s="1"/>
  <c r="A468" i="1" s="1"/>
  <c r="A469" i="1" s="1"/>
  <c r="A472" i="1" s="1"/>
  <c r="A474" i="1" s="1"/>
  <c r="A477" i="1" s="1"/>
  <c r="A479" i="1" l="1"/>
  <c r="A482" i="1" s="1"/>
  <c r="A483" i="1" s="1"/>
  <c r="A484" i="1" s="1"/>
  <c r="A485" i="1" s="1"/>
  <c r="A486" i="1" s="1"/>
  <c r="A489" i="1" s="1"/>
  <c r="A491" i="1" s="1"/>
  <c r="A493" i="1" s="1"/>
  <c r="A495" i="1" s="1"/>
  <c r="A496" i="1" s="1"/>
  <c r="A498" i="1" s="1"/>
  <c r="A500" i="1" s="1"/>
  <c r="A501" i="1" s="1"/>
  <c r="A504" i="1" s="1"/>
  <c r="A505" i="1" s="1"/>
  <c r="A507" i="1" s="1"/>
  <c r="A509" i="1" s="1"/>
  <c r="A510" i="1" s="1"/>
  <c r="A518" i="1" s="1"/>
  <c r="A522" i="1" s="1"/>
  <c r="A526" i="1" s="1"/>
  <c r="A528" i="1" s="1"/>
  <c r="A529" i="1" s="1"/>
  <c r="A530" i="1" s="1"/>
  <c r="A531" i="1" s="1"/>
  <c r="A533" i="1" s="1"/>
  <c r="A536" i="1" s="1"/>
  <c r="A539" i="1" s="1"/>
  <c r="A542" i="1" l="1"/>
  <c r="A545" i="1" s="1"/>
  <c r="A547" i="1" s="1"/>
  <c r="A552" i="1" s="1"/>
  <c r="A554" i="1" s="1"/>
  <c r="A556" i="1" s="1"/>
  <c r="A562" i="1" l="1"/>
  <c r="A563" i="1" s="1"/>
  <c r="A566" i="1" s="1"/>
  <c r="A567" i="1" s="1"/>
  <c r="A569" i="1" s="1"/>
  <c r="A572" i="1" s="1"/>
  <c r="A574" i="1" s="1"/>
  <c r="A576" i="1" s="1"/>
  <c r="A578" i="1" s="1"/>
  <c r="A579" i="1" s="1"/>
  <c r="A583" i="1" s="1"/>
  <c r="A584" i="1" s="1"/>
  <c r="A588" i="1" s="1"/>
  <c r="A590" i="1" s="1"/>
  <c r="A593" i="1" s="1"/>
  <c r="A594" i="1" s="1"/>
  <c r="A597" i="1" s="1"/>
  <c r="A605" i="1" s="1"/>
  <c r="A606" i="1" s="1"/>
  <c r="A607" i="1" s="1"/>
  <c r="A608" i="1" s="1"/>
  <c r="A612" i="1" s="1"/>
  <c r="A613" i="1" s="1"/>
  <c r="A617" i="1" s="1"/>
  <c r="A619" i="1" s="1"/>
  <c r="A622" i="1" s="1"/>
  <c r="A623" i="1" s="1"/>
  <c r="A626" i="1" s="1"/>
  <c r="A634" i="1" l="1"/>
  <c r="A635" i="1" s="1"/>
  <c r="A636" i="1" s="1"/>
  <c r="A637" i="1" s="1"/>
  <c r="A641" i="1" s="1"/>
  <c r="A642" i="1" s="1"/>
  <c r="A646" i="1" s="1"/>
  <c r="A648" i="1" s="1"/>
  <c r="A651" i="1" s="1"/>
  <c r="A652" i="1" s="1"/>
  <c r="A655" i="1" s="1"/>
  <c r="A663" i="1" s="1"/>
  <c r="A664" i="1" s="1"/>
  <c r="A665" i="1" s="1"/>
  <c r="A666" i="1" s="1"/>
  <c r="A670" i="1" s="1"/>
  <c r="A671" i="1" s="1"/>
  <c r="A675" i="1" s="1"/>
  <c r="A677" i="1" s="1"/>
  <c r="A680" i="1" s="1"/>
  <c r="A681" i="1" s="1"/>
  <c r="A683" i="1" s="1"/>
  <c r="A690" i="1" s="1"/>
  <c r="A691" i="1" s="1"/>
  <c r="A692" i="1" s="1"/>
  <c r="A693" i="1" s="1"/>
  <c r="A697" i="1" s="1"/>
  <c r="A698" i="1" s="1"/>
  <c r="A702" i="1" s="1"/>
  <c r="A704" i="1" s="1"/>
  <c r="A707" i="1" s="1"/>
  <c r="A708" i="1" s="1"/>
  <c r="A710" i="1" s="1"/>
  <c r="A718" i="1" s="1"/>
  <c r="A719" i="1" s="1"/>
  <c r="A720" i="1" s="1"/>
  <c r="A721" i="1" s="1"/>
  <c r="A725" i="1" s="1"/>
  <c r="A726" i="1" l="1"/>
  <c r="A728" i="1" s="1"/>
  <c r="A732" i="1" s="1"/>
  <c r="A733" i="1" s="1"/>
  <c r="A734" i="1" s="1"/>
  <c r="A735" i="1" s="1"/>
  <c r="A736" i="1" s="1"/>
  <c r="A740" i="1" s="1"/>
  <c r="A741" i="1" l="1"/>
  <c r="A743" i="1" s="1"/>
  <c r="A748" i="1" s="1"/>
  <c r="A749" i="1" s="1"/>
  <c r="A750" i="1" s="1"/>
  <c r="A751" i="1" s="1"/>
  <c r="A752" i="1" s="1"/>
  <c r="A756" i="1" s="1"/>
  <c r="A757" i="1" s="1"/>
  <c r="A758" i="1" s="1"/>
  <c r="A760" i="1" s="1"/>
  <c r="A764" i="1" s="1"/>
  <c r="A766" i="1" s="1"/>
  <c r="A769" i="1" s="1"/>
  <c r="A770" i="1" s="1"/>
  <c r="A772" i="1" s="1"/>
  <c r="A780" i="1" s="1"/>
  <c r="A781" i="1" l="1"/>
  <c r="A782" i="1" s="1"/>
  <c r="A783" i="1" s="1"/>
  <c r="A786" i="1" s="1"/>
  <c r="A788" i="1" s="1"/>
  <c r="A789" i="1" s="1"/>
  <c r="A790" i="1" s="1"/>
  <c r="A791" i="1" s="1"/>
  <c r="A794" i="1" l="1"/>
  <c r="A795" i="1" s="1"/>
  <c r="A796" i="1" s="1"/>
  <c r="A799" i="1" s="1"/>
  <c r="A802" i="1" s="1"/>
  <c r="A806" i="1" s="1"/>
  <c r="A809" i="1" s="1"/>
  <c r="A814" i="1" s="1"/>
  <c r="A815" i="1" s="1"/>
  <c r="A816" i="1" s="1"/>
  <c r="A817" i="1" s="1"/>
  <c r="A819" i="1" s="1"/>
  <c r="A822" i="1" l="1"/>
  <c r="A824" i="1" s="1"/>
  <c r="A827" i="1" s="1"/>
  <c r="A829" i="1" s="1"/>
  <c r="A832" i="1" s="1"/>
  <c r="A834" i="1" s="1"/>
  <c r="A837" i="1" s="1"/>
  <c r="A840" i="1" l="1"/>
  <c r="A843" i="1" s="1"/>
  <c r="A846" i="1" s="1"/>
  <c r="A851" i="1" s="1"/>
  <c r="A856" i="1" s="1"/>
  <c r="A861" i="1" s="1"/>
  <c r="A862" i="1" s="1"/>
  <c r="A863" i="1" s="1"/>
  <c r="A864" i="1" s="1"/>
  <c r="A866" i="1" s="1"/>
  <c r="A869" i="1" s="1"/>
  <c r="A871" i="1" s="1"/>
  <c r="A874" i="1" s="1"/>
  <c r="A876" i="1" s="1"/>
  <c r="A879" i="1" s="1"/>
  <c r="A881" i="1" s="1"/>
  <c r="A884" i="1" s="1"/>
  <c r="A887" i="1" l="1"/>
  <c r="A890" i="1" s="1"/>
  <c r="A892" i="1" s="1"/>
  <c r="A893" i="1" s="1"/>
  <c r="A894" i="1" s="1"/>
  <c r="A895" i="1" s="1"/>
  <c r="A897" i="1" l="1"/>
  <c r="A900" i="1" s="1"/>
</calcChain>
</file>

<file path=xl/sharedStrings.xml><?xml version="1.0" encoding="utf-8"?>
<sst xmlns="http://schemas.openxmlformats.org/spreadsheetml/2006/main" count="1859" uniqueCount="477">
  <si>
    <t>Согласовано:</t>
  </si>
  <si>
    <t>Утверждаю:</t>
  </si>
  <si>
    <t>Заместитель генерального директора по капитальному строительству</t>
  </si>
  <si>
    <t>Генеральный директор</t>
  </si>
  <si>
    <t>АО «Самараинвестнефть»</t>
  </si>
  <si>
    <t>_____________ В.В. Баранов</t>
  </si>
  <si>
    <t>_____________ А.В. Пушкарев</t>
  </si>
  <si>
    <t>Приложение 3</t>
  </si>
  <si>
    <t>Техническое задание</t>
  </si>
  <si>
    <t>Почтовый адрес:</t>
  </si>
  <si>
    <t>Требования к выполняемым работам, предоставляемым Подрядчиком</t>
  </si>
  <si>
    <t>№ п/п</t>
  </si>
  <si>
    <t>Наименование работ</t>
  </si>
  <si>
    <t>Ед. изм.</t>
  </si>
  <si>
    <t>Объем дополнительных работ</t>
  </si>
  <si>
    <t>Примечание</t>
  </si>
  <si>
    <t>тн</t>
  </si>
  <si>
    <t>м3</t>
  </si>
  <si>
    <t>шт</t>
  </si>
  <si>
    <t>м2</t>
  </si>
  <si>
    <t>Первый заместитель генерального директора - главный инженер</t>
  </si>
  <si>
    <t>шт / тн</t>
  </si>
  <si>
    <t>шт / тн / м3</t>
  </si>
  <si>
    <t>м</t>
  </si>
  <si>
    <t>Освоение территории</t>
  </si>
  <si>
    <t>кг</t>
  </si>
  <si>
    <t>Битум БН 70/30 по ГОСТ 6617-76* за 2 слоя (при расходе 2кг/м2)</t>
  </si>
  <si>
    <t>Заказчик –  АО «Самараинвестнефть»</t>
  </si>
  <si>
    <t>Россия, 443029, Самарская область, г. Самара, ул. Губанова – 21.</t>
  </si>
  <si>
    <t xml:space="preserve">Теплоизоляция трубопроводов  Ø100мм полуцилиндрами толщиной 40мм </t>
  </si>
  <si>
    <t>Полуцилиндры теплоизоляционные из минеральной ваты ПЦ 100-1000.114.40</t>
  </si>
  <si>
    <t>м труб/м3 изоляции</t>
  </si>
  <si>
    <t>шт / м3</t>
  </si>
  <si>
    <t xml:space="preserve">Теплоизоляция фасонных частей трубопровода Ø100мм полуцилиндрами толщиной 40мм </t>
  </si>
  <si>
    <t>Очистка металлических поверхностей щетками</t>
  </si>
  <si>
    <t>Проводник заземляющий из медного изолированного провода сечением 25 мм2 открыто по строительным основаниям</t>
  </si>
  <si>
    <r>
      <t>Месторождение: АО «Самараинвестнефть», Орловское месторождение - Сергиевский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р-он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Самарской области.</t>
    </r>
  </si>
  <si>
    <t>Перевозка грузов автомобилями-самосвалами работающих из карьера  на расстояние от 0,4 до 0,6 км</t>
  </si>
  <si>
    <t>Работа на отвале, группа грунтов 1</t>
  </si>
  <si>
    <t>Подготовительные работы</t>
  </si>
  <si>
    <t>Гидроизоляция бетонных поверхностей горячим битумом</t>
  </si>
  <si>
    <t>1 / 0,004</t>
  </si>
  <si>
    <t xml:space="preserve">Теплоизоляция трубопроводов  Ø50мм полуцилиндрами толщиной 40мм </t>
  </si>
  <si>
    <t xml:space="preserve">Теплоизоляция фасонных частей трубопровода Ø80мм полуцилиндрами толщиной 40мм </t>
  </si>
  <si>
    <t xml:space="preserve">Теплоизоляция трубопроводов  Ø80мм полуцилиндрами толщиной 40мм </t>
  </si>
  <si>
    <t>компл.</t>
  </si>
  <si>
    <t>Швеллер 12П по ГОСТ 8240-97</t>
  </si>
  <si>
    <t>Лист 6 по ГОСТ 19903-2015</t>
  </si>
  <si>
    <t>Лист 10 по ГОСТ 19903-2015</t>
  </si>
  <si>
    <t>Разработка грунта в отвал механизированным способом, группа грунтов 2</t>
  </si>
  <si>
    <t>Устройство основания из щебня, h=200мм</t>
  </si>
  <si>
    <t>Обеспыливание металлических поверхностей</t>
  </si>
  <si>
    <t>Обезжиривание металлических поверхностей</t>
  </si>
  <si>
    <t xml:space="preserve">        Главный энергетик                       ____________________________ Н.Н. Василькин</t>
  </si>
  <si>
    <t xml:space="preserve">        Начальник ОКС                             ____________________________ Ю.В. Скопец</t>
  </si>
  <si>
    <t>Камень бортовой БР 100.30.15 по ГОСТ 6665-91</t>
  </si>
  <si>
    <t>стык</t>
  </si>
  <si>
    <t>"Обустройство Орловского месторождения нефти"</t>
  </si>
  <si>
    <t>Лист 8 по ГОСТ 19903-2015</t>
  </si>
  <si>
    <t>Генеральный директор ‑  Черкашин Виктор Алексеевич</t>
  </si>
  <si>
    <t>_____________В.А. Черкашин</t>
  </si>
  <si>
    <t>СИН.04.20-49-Р-1.2.06-АС-Ч-002</t>
  </si>
  <si>
    <t xml:space="preserve">Монтаж плиты перекрытия под основание </t>
  </si>
  <si>
    <t>Плита ПТ300.180.14-9 по серии 3.006.1-8, вып.3-1</t>
  </si>
  <si>
    <t>2 / 3,76 / 1,5</t>
  </si>
  <si>
    <t>Мотаж утяжелителей железобетонных для крепления емкости в грунте</t>
  </si>
  <si>
    <t>БЛОК БЕТОННЫЙ ФБС 12.4.6-т ГОСТ 13579-2018</t>
  </si>
  <si>
    <t>4 / 2,56 / 1,152</t>
  </si>
  <si>
    <t>Изготовление металлоконструкций для крепления емкости в грунте</t>
  </si>
  <si>
    <t>Труба 89х5мм по ГОСТ 10704-91</t>
  </si>
  <si>
    <t>Полоса 6х50х6090 по ГОСТ 103-2006</t>
  </si>
  <si>
    <t>Полоса 6х100х410 по ГОСТ 103-2006</t>
  </si>
  <si>
    <t xml:space="preserve">Песок речной средней крупности </t>
  </si>
  <si>
    <t xml:space="preserve">Засыпка котлована механизированным способом с послойным не более 200мм уплотнением вибротрамбовками </t>
  </si>
  <si>
    <t>Установка бордюров</t>
  </si>
  <si>
    <t>СИН.04.20-49-Р-1.2.06-АС-Ч-003</t>
  </si>
  <si>
    <t>Площадка факельного конденсатосборника  Еф-1, V=12,5м3 (поз. 6.1.1)</t>
  </si>
  <si>
    <t>Щебень фракции 20-40мм, М600 по ГОСТ 8267-93</t>
  </si>
  <si>
    <t>Бетон В7,5 W6 F200 по ГОСТ 26633-2015</t>
  </si>
  <si>
    <t>Стойка Оп1, Оп2</t>
  </si>
  <si>
    <t xml:space="preserve">Устройство бетонной подготовки    </t>
  </si>
  <si>
    <t>Устройство фундаментов-столбов: бетонных</t>
  </si>
  <si>
    <t>Арматура АIII 12мм по ГОСТ 23279-2012</t>
  </si>
  <si>
    <t>Бетон В15 W6 F200 по ГОСТ 26633-2015</t>
  </si>
  <si>
    <t>Установка закладных деталей при бетонировании</t>
  </si>
  <si>
    <t>Закладная деталь МН118-3 по серии 1.400-15.В1.13008</t>
  </si>
  <si>
    <t>Изготовление и установка стальных конструкций, остающихся в теле бетона</t>
  </si>
  <si>
    <t>2 / 0,008</t>
  </si>
  <si>
    <t>Эмаль винилово-эпоксидная Виникор-62 черная</t>
  </si>
  <si>
    <t>Окраска металлических поверхностей винило-эпоксидной эмалью за 2 раза</t>
  </si>
  <si>
    <t>Уголок 90х90х7мм по ГОСТ 8509-93</t>
  </si>
  <si>
    <t>Стойка С1</t>
  </si>
  <si>
    <t>Площадка ТГР (поз. 6.1.1)</t>
  </si>
  <si>
    <t>СИН.04.20-49-Р-1.2.06-АС-Ч-004</t>
  </si>
  <si>
    <t>Опора Оп1, Оп2</t>
  </si>
  <si>
    <t>СИН.04.20-49-Р-1.2.06-АС-Ч-005</t>
  </si>
  <si>
    <t>Устройство основания из песка, h=200мм</t>
  </si>
  <si>
    <t>Установка блоков стен подвалов массой: более 1,5 т</t>
  </si>
  <si>
    <t>8 / 13,04</t>
  </si>
  <si>
    <t>Установка блоков стен подвалов массой: более 1,0 т</t>
  </si>
  <si>
    <t>БЛОК БЕТОННЫЙ ФБС 24.5.6-т ГОСТ 13579-2018</t>
  </si>
  <si>
    <t>БЛОК БЕТОННЫЙ ФБС 12.5.6-т ГОСТ 13579-2018</t>
  </si>
  <si>
    <t>10 / 7,9</t>
  </si>
  <si>
    <t>Установка анкерных болтов: в готовые гнезда с заделкой длиной до 1 м</t>
  </si>
  <si>
    <t>Болт 6.1 М30з600 по ГОСТ 24379.1-2012</t>
  </si>
  <si>
    <t>Сверление установками алмазного бурения в железобетонных конструкциях вертикальных отверстий глубиной 450 мм диаметром: 50 мм</t>
  </si>
  <si>
    <t>8 / 0,036</t>
  </si>
  <si>
    <t>м2 / м3</t>
  </si>
  <si>
    <t>Устройство подливки толщиной 50 мм</t>
  </si>
  <si>
    <t>2,88 / 0,12</t>
  </si>
  <si>
    <t>Механизированное приготовление растворов в построечных условиях: цементных</t>
  </si>
  <si>
    <t>Фундамент Фм1, Фм2</t>
  </si>
  <si>
    <t>СИН.04.20-49-Р-1.2.06-ТХ-Ч-002</t>
  </si>
  <si>
    <t>Монтаж оборудования на открытой площадке, масса оборудования: 2,85 т</t>
  </si>
  <si>
    <t>Емкость подземная ЕП 12,5-2000</t>
  </si>
  <si>
    <t>Монтаж горловины Ду800мм к емкости (соединение сварное)</t>
  </si>
  <si>
    <t>Монтаж горловины Ду700мм к емкости (соединение сварное)</t>
  </si>
  <si>
    <t>Монтаж патрубка Ду100мм к емкости (соединение сварное)</t>
  </si>
  <si>
    <t>Монтаж патрубка Ду80мм к емкости (соединение сварное)</t>
  </si>
  <si>
    <t>Приварка фланцев к стальным трубопроводам Ду100мм</t>
  </si>
  <si>
    <t>Огнепреградитель ОП-100 в комплекте с ответными фланцами крепежом и прокладками</t>
  </si>
  <si>
    <t xml:space="preserve">Арматура фланцевая с ручным приводом или без привода водопроводная на условное давление до 4 МПа, диаметр условного прохода: 100 мм </t>
  </si>
  <si>
    <t>Приварка фланцев к стальным трубопроводам Ду80мм</t>
  </si>
  <si>
    <t>Задвижка клиновая из стали 20Л с ручным управлением. Поставляется с заводским наружным антикоррозионным покрытием в комплекте с ответными фланцами по ГОСТ 33259-15, прокладками и крепежными деталями DN 80 PN 16 кгс/см2</t>
  </si>
  <si>
    <t>Клапан обратный фланцевый, DN80 PN 1.6 МПа с заводским наружным антикоррозионным покрытием, в комплекте с ответными фланцами из Ст.20 по ГОСТ 33259-2015, прокладками и крепежом</t>
  </si>
  <si>
    <t>Трубопровод из стальных труб с фланцами и сварными стыками на номинальное давление не более 2,5 МПа из готовых узлов в каналах и траншеях, диаметр труб наружный: 57 мм</t>
  </si>
  <si>
    <t>Отвод крутоизогнутый бесшовный приварной исп.2 из стали 20А П90-57х4 по ГОСТ 17375-2001</t>
  </si>
  <si>
    <t>Отвод крутоизогнутый бесшовный приварной исп.2 из стали 20А П90-89х6 по ГОСТ 17375-2001</t>
  </si>
  <si>
    <t>Отвод крутоизогнутый бесшовный приварной исп.2 из стали 20А П90-114х6 по ГОСТ 17375-2001</t>
  </si>
  <si>
    <t>Переход концентрический приварной из стали марки 20А ПК-114х6-89х6</t>
  </si>
  <si>
    <t>Переход концентрический приварной из стали марки 20А ПК-159х8-57х4</t>
  </si>
  <si>
    <t>Переход концентрический приварной из стали марки 20А ПК-219х10-57х4</t>
  </si>
  <si>
    <t>Монтаж опорных конструкций для крепления трубопроводов</t>
  </si>
  <si>
    <t>Опора 89-КХ-А11-Ст3сп6</t>
  </si>
  <si>
    <t>Опора 114-ХБ-А</t>
  </si>
  <si>
    <t>4 / 0,006</t>
  </si>
  <si>
    <t>Быстроразъемное соединение DN 80 (под приварку), в комплекте с заглушкой</t>
  </si>
  <si>
    <t>Бобышки, штуцеры на номинальное давление: до 10 Мпа</t>
  </si>
  <si>
    <t>Бобышка 1-1-М20х1,5-100 в комлекте Прокладка 15 и Пробка 1-М20х1,5</t>
  </si>
  <si>
    <t xml:space="preserve">Изоляция термоусаживающими лентами сварных стыков  трубопроводов диаметром: 89 мм </t>
  </si>
  <si>
    <t>Комплект Манжета ТИАЛ-М 89.450.1,4 ТУ 2293-002-58210788-2004</t>
  </si>
  <si>
    <t>Монтаж оборудования на открытой площадке, масса оборудования: 1,112 т</t>
  </si>
  <si>
    <t>Трубный газовый расширитель ТГР Ду400</t>
  </si>
  <si>
    <t>Приварка фланцев к стальным трубопроводам Ду50мм</t>
  </si>
  <si>
    <t>Задвижка клиновая из стали 20Л с ручным управлением. Поставляется с заводским наружным антикоррозионным покрытием в комплекте с ответными фланцами по ГОСТ 33259-15, прокладками и крепежными деталями DN 50 PN 16 кгс/см2</t>
  </si>
  <si>
    <t>Клапан отсекатель с электроприводом фланцевый, DN50 PN 1.6МПа с заводским
наружным антикоррозионным покрытием, в комплекте с ответными фланцами из ст. 20
по ГОСТ 33259-2015, прокладками и крепежом (согласно ОЛ)</t>
  </si>
  <si>
    <t>Трубы стальные бесшовные горячедеформированные сталь 20, группы В 89х6мм по ГОСТ 8732-78</t>
  </si>
  <si>
    <t>Трубы стальные бесшовные горячедеформированные сталь 20, группы В 114х6мм по ГОСТ 8732-78</t>
  </si>
  <si>
    <t>Трубы стальные бесшовные горячедеформированные сталь 20, группы В с заводской наружной двуслойной изоляцией на основе экструдированного полиэтилена 57х4мм  по ГОСТ 8732-78</t>
  </si>
  <si>
    <t>Трубы стальные бесшовные горячедеформированные сталь 20, группы В 57х4мм по ГОСТ 8732-78</t>
  </si>
  <si>
    <t>Опора 57-КХ-А11-Ст3сп6</t>
  </si>
  <si>
    <t>2 / 0,004</t>
  </si>
  <si>
    <t>Заземлитель горизонтальный из стали: полосовой сечением 200 мм2</t>
  </si>
  <si>
    <t xml:space="preserve"> Сталь полосовая 5х40 мм оцинкованная по ГОСТ 103-2006</t>
  </si>
  <si>
    <t>Заземлитель вертикальный из круглой стали диаметром: 16 мм</t>
  </si>
  <si>
    <t xml:space="preserve"> Сталь круглая, оцинкованная, ∅16 мм оцинкованная по ГОСТ 2590-2006</t>
  </si>
  <si>
    <t>Провод с медными жилами, для заземления, с изоляцией желто-зеленого цвета, сечением 6 мм.кв. ПуГВ 1х6 по ГОСТ 31565-2012</t>
  </si>
  <si>
    <t xml:space="preserve"> Наконечники кабельные для кабеля с медными жилами сечением 6 мм.кв. ТМЛ 6–5–4 ГОСТ 7386-80</t>
  </si>
  <si>
    <t xml:space="preserve"> Болт 6х18 по ГОСТ 7798-70*</t>
  </si>
  <si>
    <t>Гайка М6 по ГОСТ 5915-70*</t>
  </si>
  <si>
    <t>Шайба 6 по ГОСТ 11371-78</t>
  </si>
  <si>
    <t>СИН.04.20-49-Р-1.2.01-АС-Ч-006</t>
  </si>
  <si>
    <t>Устройство бетонной подготовки</t>
  </si>
  <si>
    <t>Арматура АIII 8мм по ГОСТ 23279-2012</t>
  </si>
  <si>
    <t>Установка анкерных болтов при бетонировании</t>
  </si>
  <si>
    <t>Болт 2.1 М16х600 по ГОСТ 24379.1-2012</t>
  </si>
  <si>
    <t>3 / 0,005</t>
  </si>
  <si>
    <t>1,62 / 0,08</t>
  </si>
  <si>
    <t>СИН.04.20-49-Р-1.2.01-АС-Ч-007</t>
  </si>
  <si>
    <t>Закладная деталь МН122-2 по серии 1.400-15.В1.130-31</t>
  </si>
  <si>
    <t>Опора Оп5..Оп9, Оп11..Оп25</t>
  </si>
  <si>
    <t>20 / 0,092</t>
  </si>
  <si>
    <t>Опора Оп10</t>
  </si>
  <si>
    <t>СИН.04.20-49-Р-1.2.01-АС-Ч-008</t>
  </si>
  <si>
    <t>Площадка обслуживания Пл1</t>
  </si>
  <si>
    <t>Труба 159х5мм по ГОСТ 10704-91</t>
  </si>
  <si>
    <t>Опоры ОП 1</t>
  </si>
  <si>
    <t>Уголок 50х50х5мм по ГОСТ 8509-93</t>
  </si>
  <si>
    <t>Лист ПВ1 506 по ТУ 36.26.11-5-89</t>
  </si>
  <si>
    <t>Швеллер 20П по ГОСТ 8240-97</t>
  </si>
  <si>
    <t>Уголок 75х75х5мм по ГОСТ 8509-93</t>
  </si>
  <si>
    <t>Ограждение площадки</t>
  </si>
  <si>
    <t>Изготовление и установка стальных конструкций лестницы</t>
  </si>
  <si>
    <t>Изготовление и установка стальных конструкций площадки</t>
  </si>
  <si>
    <t>Полоса 4х40 по ГОСТ 103-2006</t>
  </si>
  <si>
    <t>Полоса 4х150 по ГОСТ 103-2006</t>
  </si>
  <si>
    <t>Опоры ОП 2</t>
  </si>
  <si>
    <t>Сверление отверстий перфоратором в железобетонных конструкциях вертикальных отверстий глубиной 100 мм диаметром: 14 мм</t>
  </si>
  <si>
    <t>Постановка анкерных болтов в готовые гнезда</t>
  </si>
  <si>
    <t>Болт БСР М12х100</t>
  </si>
  <si>
    <t>4 / 0,001</t>
  </si>
  <si>
    <t>СИН.04.20-49-Р-1.2.01-АС-Ч-005</t>
  </si>
  <si>
    <t>Площадка Сепаратора ГС-1, V=0,4м3 (поз. 11.1.6)</t>
  </si>
  <si>
    <t>Площадка</t>
  </si>
  <si>
    <t>Устройство фундаментных плит железобетонных: плоских</t>
  </si>
  <si>
    <t>Погрузкой на автомобили-самосвалы механизированным способом группа грунтов 1</t>
  </si>
  <si>
    <t>СИН.04.20-49-Р-1.2.04-ТХ-Ч-002</t>
  </si>
  <si>
    <t>Монтаж оборудования на открытой площадке, масса оборудования: 0,85 т</t>
  </si>
  <si>
    <t>Газовый сепаратор ГС1-2,5-600-1</t>
  </si>
  <si>
    <t>Блок предохранительных клапанов с устройствами переключающими БПУ в комплекте с ответными фланцами по ГОСТ 33259-2015, прокладками и крепежом (согласно ОЛ)</t>
  </si>
  <si>
    <t>Задвижка клиновая с ручным приводом ЗКЛ2-50-16, DN 50, PN 1,6 МПа в комплекте с ответными фланцами по ГОСТ 33259-2015  Ст 20, прокладками  и крепежом</t>
  </si>
  <si>
    <t>Клапан электромагнитный фланцевый, DN 50, PN 1,6 МПа в комплекте с ответными фланцами по ГОСТ 33259-2015  Ст 20, прокладками  и крепежом</t>
  </si>
  <si>
    <t>Кран шаровый с ручным приводом, DN 50, PN 1,6 МПа в комплекте с ответными фланцами по ГОСТ 33259-2015  Ст 20, прокладками  и крепежом</t>
  </si>
  <si>
    <t>Задвижка клиновая с ручным приводом ЗКЛ2-100-16, DN 50, PN 1,6 МПа в комплекте с ответными фланцами по ГОСТ 33259-2015  Ст 20, прокладками  и крепежом</t>
  </si>
  <si>
    <t>Отвод крутоизогнутый бесшовный приварной исп.2 из стали 20А П45-57х4 по ГОСТ 17375-2001</t>
  </si>
  <si>
    <t>Тройник бесшовный приварной исп.2 из стали 20А П 57х4</t>
  </si>
  <si>
    <t>Переход концентрический приварной из стали марки 20А ПК 114х6-57х4</t>
  </si>
  <si>
    <t>Трубы стальные бесшовные горячедеформированные сталь 20, группы В с заводской наружной двуслойной изоляцией на основе экструдированного полиэтилена 89х6мм по ГОСТ 8732-78</t>
  </si>
  <si>
    <t>Тройник бесшовный приварной исп.2 из стали 20А П 114х6</t>
  </si>
  <si>
    <t>Переход концентрический приварной из стали марки 20А ПК 159х8-114х6</t>
  </si>
  <si>
    <t>Опора 114-КХ-А11-Ст3сп6</t>
  </si>
  <si>
    <t>СИН.04.20-49-Р-1.2.01-ЭС-Ч-002</t>
  </si>
  <si>
    <t>СИН.04.20-49-Р-1.2.01-АС-Ч-004</t>
  </si>
  <si>
    <t>Площадка свечи рассеивания (поз. 4.1.1)</t>
  </si>
  <si>
    <t>Разработка грунта с перемещением до 10м механизированным способом, группа грунтов 2</t>
  </si>
  <si>
    <t>Устройство площадки из сборных прямоугольных железобетонных плит площадью: до 10,5 м2</t>
  </si>
  <si>
    <t>Плита дорожная 2П30.18-30 по ГОСТ 21924.0-84</t>
  </si>
  <si>
    <t>Устройство выравнивающего слоя из песка, h=50мм</t>
  </si>
  <si>
    <t>Уплотнение грунта: щебнем</t>
  </si>
  <si>
    <t>Свеча рассеивания (сущ.)</t>
  </si>
  <si>
    <t>Площадка операторной (поз. 14.1.1)</t>
  </si>
  <si>
    <t>СИН.04.20-49-Р-1.2.13-АС-Ч-002</t>
  </si>
  <si>
    <t>Плита дорожная ПДН-АIV 6000х2000х140 по Серии 3.503.1-91 вып.1</t>
  </si>
  <si>
    <t>Площадка надземной емкости для пресной воды Е-1 (поз. 12.1.1)</t>
  </si>
  <si>
    <t>СИН.04.20-49-Р-1.2.11-АС-Ч-002</t>
  </si>
  <si>
    <t>Плита 1П35.28 по ГОСТ 21924.0-84</t>
  </si>
  <si>
    <t>СИН.04.20-49-Р-1.2.11-АС-Ч-003</t>
  </si>
  <si>
    <t>Фундамент Фм1</t>
  </si>
  <si>
    <t xml:space="preserve">Разборка железобетонных фундаментных блоков ФБС </t>
  </si>
  <si>
    <t xml:space="preserve">Разборка ленточного фундамента ФЛ </t>
  </si>
  <si>
    <t>Устройство основания из песка, h=100мм</t>
  </si>
  <si>
    <t>Монтаж ленточного железобетонного фундамента (сборный ж/б раннее демонтированный)</t>
  </si>
  <si>
    <t>Монтаж блоков фундаментых (сборный ж/б раннее демонтированный)</t>
  </si>
  <si>
    <t>2,4 / 0,12</t>
  </si>
  <si>
    <t>Изготовление и монтаж закладной детали при бетонировании</t>
  </si>
  <si>
    <t>Опоры Оп14</t>
  </si>
  <si>
    <t>СИН.04.20-49-Р-1.2.11-АС-Ч-004</t>
  </si>
  <si>
    <t>Опоры Оп1..Оп6, Оп15</t>
  </si>
  <si>
    <t>Изготовление стоек опорных из прокатной стали</t>
  </si>
  <si>
    <t>1 / 0,011</t>
  </si>
  <si>
    <t>Установка анкерных болтов: в готовые гнезда с заделкой длиной до 0,1 м</t>
  </si>
  <si>
    <t>Болт БСР М10х100</t>
  </si>
  <si>
    <t>Установка стальных конструкций, остающихся в теле бетона</t>
  </si>
  <si>
    <t>20 / 0,258</t>
  </si>
  <si>
    <t>4 / 0,395</t>
  </si>
  <si>
    <t>8 / 0,028</t>
  </si>
  <si>
    <t>8 / 0,162</t>
  </si>
  <si>
    <t>СИН.04.20-49-Р-1.2.11-ТХ-Ч-002</t>
  </si>
  <si>
    <t>Емкость для хранения пресной воды V=10м3</t>
  </si>
  <si>
    <t xml:space="preserve">Сборка здания блочно-контейнерного типа с изоляцией вертикальных и горизонтальных стыков бежду блоками, установкой крылец и козырьков, соединением и испытанием технических сетей между блоками </t>
  </si>
  <si>
    <t>Блок-бокс над артскважиной</t>
  </si>
  <si>
    <t>Установка насосов центробежных с электродвигателем, масса агрегата: до 0,1 т</t>
  </si>
  <si>
    <t>Насос подачи пресной воды (согласно ОЛ)</t>
  </si>
  <si>
    <t>Установка фильтров диаметром : 50 мм</t>
  </si>
  <si>
    <t>Фильтр жидкости ФЖУ-50/16</t>
  </si>
  <si>
    <t>Задвижка клиновая с ручным приводом ЗКЛ2-80-16, DN 80, PN 1,6 МПа в комплекте с ответными фланцами по ГОСТ 33259-2015  Ст 20, прокладками  и крепежом</t>
  </si>
  <si>
    <t>Клапан обратный фланцевый, DN 50, PN 1,6 МПа в комплекте с ответными фланцами по ГОСТ 33259-2015  Ст 20, прокладками  и крепежом</t>
  </si>
  <si>
    <t>Изготовление и монтаж трубопровода на открытых площадках в пределах цехов, монтируемый из труб и готовых деталей, на условное давление не более 2,5 МПа, диаметр труб наружный: 32 мм</t>
  </si>
  <si>
    <t>Трубы стальные бесшовные горячедеформированные сталь 20, группы В с заводской наружной двуслойной изоляцией на основе экструдированного полиэтилена 32х4мм  по ГОСТ 8732-78</t>
  </si>
  <si>
    <t>Переход концентрический приварной из стали марки 20А ПК 57х6-32х4</t>
  </si>
  <si>
    <t>Переход концентрический приварной из стали марки 20А ПК 57х6-89х6</t>
  </si>
  <si>
    <t>Заглушка приварная из стали марки 20А П 57х5</t>
  </si>
  <si>
    <t>Опора 57-ТО-А1-Ст3сп6</t>
  </si>
  <si>
    <t>16 / 0,03</t>
  </si>
  <si>
    <t>Быстроразъемное соединение DN 50 (под приварку), в комплекте с заглушкой</t>
  </si>
  <si>
    <t>Длина указана без длины фасонных частей</t>
  </si>
  <si>
    <t>Комплект фланцевых пар в составе: фланец 50-16-11-1-В - 2шт, прокладка А-50-16-ПОН - 1шт, шпилька АМ16х60.58 - 4шт, гайка М16-6Н.5 - 8шт</t>
  </si>
  <si>
    <t>Пробивка в кирпичных стенах отверстий круглых диаметром: до 50 мм при толщине стен до 25 см</t>
  </si>
  <si>
    <t>Полуцилиндры теплоизоляционные из ППУ ПЦ 100-1000.32.40 с покрытием оцинкованным листом 0,5мм</t>
  </si>
  <si>
    <t>Хомут стальной оцинкованный с замком для для монтажа скорлуп 32х40</t>
  </si>
  <si>
    <t>Полуцилиндры теплоизоляционные из ППУ ПЦ 100-1000.57.40 с покрытием оцинкованным листом 0,5мм</t>
  </si>
  <si>
    <t>Хомут стальной оцинкованный с замком для для монтажа скорлуп 57х40</t>
  </si>
  <si>
    <t>Полуцилиндры теплоизоляционные из минеральной ваты ПЦ 100-1000.89.40</t>
  </si>
  <si>
    <t>Хомут стальной оцинкованный с замком для для монтажа скорлуп 89х40</t>
  </si>
  <si>
    <t>Отвод базальтовый (теплоиз.) 90-040.0057 покрытие армофол</t>
  </si>
  <si>
    <t>Тройник базальтовый (теплоиз.) 040-57 покрытие армофол</t>
  </si>
  <si>
    <t>Отвод базальтовый (теплоиз.) 90-040.0089</t>
  </si>
  <si>
    <t xml:space="preserve">Теплоизоляция фасонных частей трубопровода Ø50мм полуцилиндрами толщиной 40мм </t>
  </si>
  <si>
    <t xml:space="preserve">Теплоизоляция трубопроводов  Ø30мм полуцилиндрами толщиной 40мм </t>
  </si>
  <si>
    <t>Термочехол для задвижки Ду50 Ру16</t>
  </si>
  <si>
    <t>Теплоизоляция арматуры и фланцевых соединений съемными термочехлами диаметром до 100мм</t>
  </si>
  <si>
    <t>Термочехол для задвижки Ду80 Ру16</t>
  </si>
  <si>
    <t>Термочехол для задвижки Ду100 Ру16</t>
  </si>
  <si>
    <t>4 / 0,008</t>
  </si>
  <si>
    <t>24 / 0,025</t>
  </si>
  <si>
    <t>1 / 0,009</t>
  </si>
  <si>
    <t>26 / 0,317</t>
  </si>
  <si>
    <t>5 / 0,075</t>
  </si>
  <si>
    <t>СИН.04.20-49-Р-1.2.11-ЭС-Ч-002</t>
  </si>
  <si>
    <t>Молниеотвод МОГК-15 (поз. 18.1.1)</t>
  </si>
  <si>
    <t>СИН.04.20-49-Р-1.2.16-АС-Ч-002</t>
  </si>
  <si>
    <t>м / шт</t>
  </si>
  <si>
    <t>Изготовление арматурного каркаса с последующим опуском в скважину</t>
  </si>
  <si>
    <t>Арматура АI 8мм по ГОСТ 23279-2012</t>
  </si>
  <si>
    <t>Закладная деталь ФМ-0.219-3,5 (в составе молниеотводов)</t>
  </si>
  <si>
    <t>Установка стальных: отдельно стоящих молниеотводов со шпилем, высотой до 15м</t>
  </si>
  <si>
    <t>Молниеотвод МОГК-15</t>
  </si>
  <si>
    <t>18,9 / 6</t>
  </si>
  <si>
    <t>Технологические трубопроводы</t>
  </si>
  <si>
    <t>Опоры Ст1, Ст2</t>
  </si>
  <si>
    <t>Шнековое бурение скважины механизированным способом глубиной до 4м в грунтах группы 2 диаметром шнека 600мм</t>
  </si>
  <si>
    <t>Шнековое бурение скважины механизированным способом глубиной до 4м в грунтах группы 2 диаметром шнека 500мм</t>
  </si>
  <si>
    <t>16 / 4</t>
  </si>
  <si>
    <t>Бетонирование скважины с арматурным каркасом</t>
  </si>
  <si>
    <t>Болт 1.1 М20х800 ВСт3пс2 по ГОСТ 24279.1-2012</t>
  </si>
  <si>
    <t>Круг стальной обычной точности 16мм по ГОСТ 2590-2006</t>
  </si>
  <si>
    <t>Лист 6 по ГОСТ 103-2006</t>
  </si>
  <si>
    <t>Изготовление и установка закладных деталей при бетонировании</t>
  </si>
  <si>
    <t>0,72 / 0,04</t>
  </si>
  <si>
    <t>СИН.04.20-49-Р-1.2.13-ЭС-Ч-002</t>
  </si>
  <si>
    <t>СИН.04.20-49-Р-1.2.01-АС-Ч-010</t>
  </si>
  <si>
    <t>Устройство железобетонных фундаментов общего назначения: до 10 м3</t>
  </si>
  <si>
    <t>3 / 23,2</t>
  </si>
  <si>
    <t>Бетон В15, W6, F200</t>
  </si>
  <si>
    <t>Изготовление закладной детали ЗД-1</t>
  </si>
  <si>
    <t>АРМАТУРА 25 11.7м А-I ст3пс/сп 11,700 0,184 Т</t>
  </si>
  <si>
    <t>Уголок металлический 125x8 ст.Ст3 ГОСТ 8509-93</t>
  </si>
  <si>
    <t>Постановка изготовленной закладной детали при бетонировании</t>
  </si>
  <si>
    <t>Окраска  бетонных поверхностей горячим битумом</t>
  </si>
  <si>
    <t>СИН.04.20-49-Р-1.2.850-АС-Ч-006</t>
  </si>
  <si>
    <t>СИН.04.20-49-Р-1.2.850-АС-Ч-003</t>
  </si>
  <si>
    <t>Труба 219х6 ГОСТ 10704-91</t>
  </si>
  <si>
    <t>Двутавр 16Б2 ГОСТ 26020-83</t>
  </si>
  <si>
    <t>Швеллер 20П ГОСТ 8240-97</t>
  </si>
  <si>
    <t>Швеллер 14П ГОСТ 8240-97</t>
  </si>
  <si>
    <t>Лист 10 ГОСТ 19903-2015</t>
  </si>
  <si>
    <t>Лист 6 ГОСТ 19903-2015</t>
  </si>
  <si>
    <t>Лист 20 ГОСТ 19903-2015</t>
  </si>
  <si>
    <t>Изготовление и монтаж опорных стоек из прокатной стали</t>
  </si>
  <si>
    <t>Опоры Ст3</t>
  </si>
  <si>
    <t>8 / 2</t>
  </si>
  <si>
    <t>0,36 / 0,02</t>
  </si>
  <si>
    <t>Опоры Ст4</t>
  </si>
  <si>
    <t>Ст35.1 - Ст38.2, Ст39 - Ст42, Ст42.1, Ст42.2</t>
  </si>
  <si>
    <t>44 / 11</t>
  </si>
  <si>
    <t>1,1 / 0,06</t>
  </si>
  <si>
    <t>Швеллер 16П ГОСТ 8240-97</t>
  </si>
  <si>
    <t>Ст43 - Ст44, Ст97 - Ст99</t>
  </si>
  <si>
    <t>20 / 5</t>
  </si>
  <si>
    <t>0,5 / 0,03</t>
  </si>
  <si>
    <t>Шнековое бурение скважины механизированным способом глубиной до 2м в грунтах группы 2 диаметром шнека 400мм</t>
  </si>
  <si>
    <t>Ст93 - Ст96, Ст111-Ст112</t>
  </si>
  <si>
    <t>12 / 6</t>
  </si>
  <si>
    <t>Труба 114х5 ГОСТ 10704-91</t>
  </si>
  <si>
    <t>Ст100</t>
  </si>
  <si>
    <t>Шнековое бурение скважины механизированным способом глубиной до 3м в грунтах группы 2 диаметром шнека 400мм</t>
  </si>
  <si>
    <t>3 / 1</t>
  </si>
  <si>
    <t>40 / 10</t>
  </si>
  <si>
    <t>30 / 10</t>
  </si>
  <si>
    <t>1 / 0,05</t>
  </si>
  <si>
    <t xml:space="preserve">Изготовление и монтаж прогонов </t>
  </si>
  <si>
    <t>Швеллер 22П ГОСТ 8240-97</t>
  </si>
  <si>
    <t>СИН.04.20-49-Р-1.2.850-ТХ-Ч-009</t>
  </si>
  <si>
    <t>На факельной установке</t>
  </si>
  <si>
    <t>На свече рассеивания</t>
  </si>
  <si>
    <t>Отвод крутоизогнутый бесшовный приварной исп.2 из стали 20А П90-32х4 по ГОСТ 17375-2001</t>
  </si>
  <si>
    <t>Трубы стальные бесшовные горячедеформированные сталь 20, группы В с заводской наружной двуслойной изоляцией на основе экструдированного полиэтилена 114х6мм по ГОСТ 8732-78</t>
  </si>
  <si>
    <t>Переход концентрический приварной из стали марки 20А ПК 89х6-114х6</t>
  </si>
  <si>
    <t>Опора 32-ТХ-АС10-Ст3сп6</t>
  </si>
  <si>
    <t>78 / 0,199</t>
  </si>
  <si>
    <t xml:space="preserve">Теплоизоляция фасонных частей трубопровода Ø30мм полуцилиндрами толщиной 40мм </t>
  </si>
  <si>
    <t>6 / 0,006</t>
  </si>
  <si>
    <t>Отвод базальтовый (теплоиз.) 90-040.0032 покрытие армофол</t>
  </si>
  <si>
    <t>5 / 0,007</t>
  </si>
  <si>
    <t>Отвод базальтовый (теплоиз.) 90-040.0089 покрытие армофол</t>
  </si>
  <si>
    <t>3 / 0,006</t>
  </si>
  <si>
    <t>Хомут стальной оцинкованный с замком для для монтажа скорлуп 114х40</t>
  </si>
  <si>
    <t>3 / 0,009</t>
  </si>
  <si>
    <t>Переход концентрический приварной из стали марки 20А ПК 89х6-159х8</t>
  </si>
  <si>
    <t>Переход концентрический приварной из стали марки 20А ПК 114х6-159х8</t>
  </si>
  <si>
    <t>Отвод базальтовый (теплоиз.) 90-040.0114 покрытие армофол</t>
  </si>
  <si>
    <t>СИН.04.20-49-Р-1.2.850-ТХ-Ч-008, 007</t>
  </si>
  <si>
    <t>56 / 0,151</t>
  </si>
  <si>
    <t>63 / 0,57</t>
  </si>
  <si>
    <t>32 / 0,39</t>
  </si>
  <si>
    <t>58 / 0,094</t>
  </si>
  <si>
    <t>58 / 1,08</t>
  </si>
  <si>
    <t>58 / 1,07</t>
  </si>
  <si>
    <t>42 / 0,68</t>
  </si>
  <si>
    <t>39 / 0,47</t>
  </si>
  <si>
    <t>30 / 0,27</t>
  </si>
  <si>
    <t>СИН.04.20-49-Р-1.2.850-ТХ-Ч-006</t>
  </si>
  <si>
    <t>22 / 0,151</t>
  </si>
  <si>
    <t>Срок выполнения работ: май 2023г - август 2023г</t>
  </si>
  <si>
    <t>Выполнить строительно-монтажные работы в соответствии с проектной документацией, нормативными документами, актами, положениями и правилами, действующими на территории РФ и положениями, регламентами и приказами по АО «Самараинвестнефть».</t>
  </si>
  <si>
    <t>Подрядчику разработать проект производства работ (ППР) согласно СП 48.13330.2011, работы производяться в стесненных условиях на действующем опасном производственном объекте.</t>
  </si>
  <si>
    <t>Подрядчику предусмотреть временные здания и сооружения для складирования и хранения ТМЦ в размере 3,5% от СМР</t>
  </si>
  <si>
    <t>Стоимость работ должна включать все затраты «Подрядчика» (накладные, транспортные  и другие расходы, связанные с оказанием данной услуги) и не подлежит корректировке в сторону увеличения.</t>
  </si>
  <si>
    <t>При привлечении к выполнению строительных работ субподрядных организаций, участник тендера должен направить в адрес Заказчика  перечень данных предприятий, письменное  обоснование необходимости их привлечения и полный пакет документов, аналогичный документам, представляемым претендентом на участие в тендере.</t>
  </si>
  <si>
    <t>Привлечение для выполнения работ субподрядных организаций возможно только при условии  получения предварительного письменного согласования  от Заказчика.</t>
  </si>
  <si>
    <t>Подрядчик обязан иметь все необходимые допуски на право выполнения всех работ, связанных с реализацией настоящего технического задания, а в случае привлечения сторонних организаций согласовывать с заказчиком.</t>
  </si>
  <si>
    <t>Все затраты на проведение согласований и заключений во время производства работ производит подрядчик.</t>
  </si>
  <si>
    <t>При определении стоимости транспортировки материалов принять поправки:</t>
  </si>
  <si>
    <t>- грунт: потери при транспортировке Ктр = 1,01, уплотнение Купл = 1,05, удельный вес - 1,2 тн/м3;</t>
  </si>
  <si>
    <t>- песок: потери при транспортировке Ктр = 1,01, уплотнение Купл = 1,05, удельный вес - 1,6 тн/м3;</t>
  </si>
  <si>
    <t>- щебень: уплотнение Купл = 1,32, удельный вес - 1,26 тн/м3;</t>
  </si>
  <si>
    <t>Подрядчик во всех случаях несет перед Заказчиком полную ответственность за неисполнение или ненадлежащее исполнение обязательств, привлекаемым субподрядчиком как за свои собственные действия.</t>
  </si>
  <si>
    <t>По окончании работ подрядчик обязан предоставить в полном объеме исполнительную документацию (включая спец.журналы) согласно действующих на сегодняшний момент нормативных документов.</t>
  </si>
  <si>
    <t>Доставка материалов поставки Подрядчика осуществляется согласно транспортной схемы Подрядчика, утвержденной Заказчиком.</t>
  </si>
  <si>
    <t xml:space="preserve">Работы по погрузке, перевозке и разгрузке материалов и оборудования определяются на основании нормативной базы ФЕР с пересчетом в текущий уровень цен индексами ООО Стройинформресурс на период формирования сметной документации.  </t>
  </si>
  <si>
    <t>Затраты на перебазировку строительной техники следует представить в виде расчета на объект и обратно в текущих ценах с исключением затрат на перебазировку, учтённых в стоимости машино-часа в размере усреднённого процента (5%) от общей стоимости эксплуатации строительной техники по смете.</t>
  </si>
  <si>
    <t>Стоимость материалов применяемых в составлении сметной документации производится на основании федеральных сборников сметных цен утвержденных МинСтроем РФ. Дополнительные расчеты по компенсации стоимости материальных ресурсов не предусмотрены.</t>
  </si>
  <si>
    <t>Формирование стоимости услуг произвести на основании сборников базовых цен (ФЕР, ФЕРр, ФЕРм) региона нахождения объекта строительства с последующим пересчетом в текущий уровень цен по индексам ООО "Стройинформресурс" Самарской обл. на период размещения на сайте компании разыгрываемого лота в програмном комплексе Гранд.</t>
  </si>
  <si>
    <t>Условия оплаты: Отсутствие авансирования, оплата работ производится в течение 60 (шестидесяти) календарных дней с момента подписания Заказчиком Актов о приемке выполненых работ КС-2, Отчета об израсходованных материалах при строительных работах, Справки о стоимости выполненых работ и затрат КС-3 и предоставления Подрядчиком счета-фактуры, а также полного пакета исполнительной документации.</t>
  </si>
  <si>
    <t>При составлении сметной документации руководствоваться актуальной редакцией сборников базовых цен Федеральных единичных расценок, в программе Гранд-смета, с использованием  индексов  ООО "Стройинформресурс"</t>
  </si>
  <si>
    <t xml:space="preserve">Протяженность дороги от базы АО Самараинвестнефть в п. Суходол до Орловского месторождения:
- асфальтированная дорога II категории - 30 км;                                                                                                                     </t>
  </si>
  <si>
    <t xml:space="preserve">Протяженность дороги от г. Самара до Орловского месторождения:
- асфальтированная дорога II категории - 70 км;                                                                                                                                                  </t>
  </si>
  <si>
    <t>Погрузка и перевозка материалов Заказчика на производственной базе Заказчика (п.Суходол) осуществляется силами Заказчика в присутствии уполномоченного представителя Подрядчика. Разгрузка материалов поставки Заказчика со склада в п.Суходол на объекте производства работ осуществляется силами Подрядчика.</t>
  </si>
  <si>
    <t xml:space="preserve">Материалы поставки Заказчика, передаются Подрядчику по давальческой схеме. </t>
  </si>
  <si>
    <t xml:space="preserve">        Главный технолог                         ____________________________ А.В. Кузнецов</t>
  </si>
  <si>
    <t>Разгрузочные работы материалов Заказчика</t>
  </si>
  <si>
    <t>СИН.04.20-49-Р-1.2.06-ЭМ-Ч-002</t>
  </si>
  <si>
    <t>«___»_____________2023 г.</t>
  </si>
  <si>
    <t>Проверка наличия цепи между заземлителями и заземленными элементами</t>
  </si>
  <si>
    <t>контур</t>
  </si>
  <si>
    <t>Измерение сопротивления заземляющегося устройства</t>
  </si>
  <si>
    <t>Устройство площадки из щебня с уплотнением</t>
  </si>
  <si>
    <t>Устройство основания из песка, h=1000мм с уплотнением</t>
  </si>
  <si>
    <t>2 / 0,007</t>
  </si>
  <si>
    <t>2 / 0,051</t>
  </si>
  <si>
    <t>1 / 0,034</t>
  </si>
  <si>
    <t>Труба 89х4мм по ГОСТ 10704-91</t>
  </si>
  <si>
    <t>2 / 0,044</t>
  </si>
  <si>
    <t xml:space="preserve">Цементно-песчаная смесь ЦПС </t>
  </si>
  <si>
    <t>Изготовление и монтаж трубопровода на открытых площадках, монтируемый из труб и готовых деталей, на условное давление не более 2,5 МПа, диаметр труб наружный: 57 мм</t>
  </si>
  <si>
    <t xml:space="preserve">Теплоизоляция трубопроводов  Ø400мм полуцилиндрами толщиной 40мм </t>
  </si>
  <si>
    <t>Полуцилиндры теплоизоляционные из ППУ ПЦ 100-1000.400.40 с покрытием оцинкованным листом 0,5мм</t>
  </si>
  <si>
    <t>Хомут стальной оцинкованный с замком для для монтажа скорлуп 400х40</t>
  </si>
  <si>
    <t>4 / 0,05</t>
  </si>
  <si>
    <t>12 / 0,61</t>
  </si>
  <si>
    <t>2,6 / 0,042</t>
  </si>
  <si>
    <t>Полуцилиндры теплоизоляционные из минеральной ваты ПЦ 100-1000.100.40</t>
  </si>
  <si>
    <t>Хомут стальной оцинкованный с замком для для монтажа скорлуп 100х40</t>
  </si>
  <si>
    <t>3,6 / 0,067</t>
  </si>
  <si>
    <t>4 / 0,007</t>
  </si>
  <si>
    <t>Изготовление и монтаж трубопровода на открытых площадках, монтируемый из труб и готовых деталей, на условное давление не более 2,5 МПа, диаметр труб наружный: 89 мм</t>
  </si>
  <si>
    <t>Изготовление и монтаж трубопровода на открытых площадках, монтируемый из труб и готовых деталей, на условное давление не более 2,5 МПа, диаметр труб наружный: 114 мм</t>
  </si>
  <si>
    <t>3 / 0,017</t>
  </si>
  <si>
    <t xml:space="preserve">Теплоизоляция фасонных частей трубопровода Ø400мм полуцилиндрами толщиной 40мм </t>
  </si>
  <si>
    <t>Переход базальтовый (теплоиз.) 040.0426-0089 покрытие армофол</t>
  </si>
  <si>
    <t>Переход базальтовый (теплоиз.) 040.0426-0114 покрытие армофол</t>
  </si>
  <si>
    <t>4 / 0,035</t>
  </si>
  <si>
    <t>Устройство основания из щебня, h=300мм с уплотнением</t>
  </si>
  <si>
    <t>15,3 / 0,19</t>
  </si>
  <si>
    <t>9,2 / 0,16</t>
  </si>
  <si>
    <t>34 / 0,63</t>
  </si>
  <si>
    <t>Тройник базальтовый (теплоиз.) 040.0057 покрытие армофол</t>
  </si>
  <si>
    <t>7 / 0,013</t>
  </si>
  <si>
    <t>16 / 0,09</t>
  </si>
  <si>
    <t>Устройство основания из щебня, h=200мм с уплотнением</t>
  </si>
  <si>
    <t>ЛИСТ 14 ст3</t>
  </si>
  <si>
    <t>3 / 0,094</t>
  </si>
  <si>
    <t>8 / 5,432</t>
  </si>
  <si>
    <t>2 / 1,3</t>
  </si>
  <si>
    <t>Устройство основания из щебня с уплотнением</t>
  </si>
  <si>
    <t>6 / 0,648</t>
  </si>
  <si>
    <t>6 / 1,098</t>
  </si>
  <si>
    <t>11 / 3,173</t>
  </si>
  <si>
    <t>1 / 0,617</t>
  </si>
  <si>
    <t>1 / 0,599</t>
  </si>
  <si>
    <t>2 / 1,172</t>
  </si>
  <si>
    <t>5 / 1,577</t>
  </si>
  <si>
    <t>6 / 0,361</t>
  </si>
  <si>
    <t>1/ 0,096</t>
  </si>
  <si>
    <t>10 / 3,822</t>
  </si>
  <si>
    <t>Изготовление и монтаж трубопровода на открытых площадках, монтируемый из труб и готовых деталей, на условное давление не более 2,5 МПа, диаметр труб наружный: 32 мм</t>
  </si>
  <si>
    <t>Монтаж запорной арматуры фланцевой с ручным приводом на условное давление до 4 МПа, диаметр условного прохода: 50 мм</t>
  </si>
  <si>
    <t>Монтаж запорной арматуры фланцевой с электрическим приводом на условное давление до 4 МПа, диаметр условного прохода: 50 мм</t>
  </si>
  <si>
    <t>Монтаж запорной арматура фланцевой с ручным приводом или без привода на условное давление до 4 МПа, диаметр условного прохода: 80 мм</t>
  </si>
  <si>
    <t>Монтаж запорной арматуры фланцевой с ручным приводом или без привода на условное давление до 4 МПа, диаметр условного прохода: 50 мм</t>
  </si>
  <si>
    <t>Монтаж запорной арматуры фланцевой с ручным приводом или без привода на условное давление до 2,5 МПа, диаметр условного прохода: 50 мм</t>
  </si>
  <si>
    <t>Монтаж запорной арматуры фланцевой с электрическим приводом на условное давление до 2,5 МПа, диаметр условного прохода: 50 мм</t>
  </si>
  <si>
    <t>Монтаж запорной арматуры фланцевой с ручным приводом или без привода на условное давление до 2,5 МПа, диаметр условного прохода: 100 мм</t>
  </si>
  <si>
    <t>Монтаж оборудования на открытой площадке, масса оборудования: 2,097 т</t>
  </si>
  <si>
    <t>Монтаж оборудования на открытой площадке, масса оборудования: 2,6 т</t>
  </si>
  <si>
    <t>Монтаж запорной арматуры фланцевой с ручным приводом или без привода на условное давление до 2,5 МПа, диаметр условного прохода: 80 мм</t>
  </si>
  <si>
    <t>Труба 114х5 ГОСТ 10704-91 длина 3,7м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</si>
</sst>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3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">
    <xf numFmtId="0" fontId="0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2" fillId="0" borderId="0"/>
    <xf numFmtId="4" fontId="8" fillId="0" borderId="0">
      <alignment vertical="center"/>
    </xf>
    <xf numFmtId="4" fontId="8" fillId="0" borderId="0">
      <alignment vertical="center"/>
    </xf>
    <xf numFmtId="0" fontId="6" fillId="0" borderId="0"/>
    <xf numFmtId="0" fontId="1" fillId="0" borderId="0"/>
    <xf numFmtId="0" fontId="7" fillId="0" borderId="0"/>
    <xf numFmtId="0" fontId="1" fillId="0" borderId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4" fillId="2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1" fontId="4" fillId="5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1" fillId="0" borderId="0" xfId="0" applyFont="1"/>
    <xf numFmtId="0" fontId="12" fillId="2" borderId="0" xfId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8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wrapText="1"/>
    </xf>
    <xf numFmtId="0" fontId="5" fillId="8" borderId="0" xfId="0" applyFont="1" applyFill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1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11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wrapText="1"/>
    </xf>
    <xf numFmtId="0" fontId="11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0" fontId="11" fillId="2" borderId="1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4" fillId="2" borderId="0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65" fontId="4" fillId="5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11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/>
    <xf numFmtId="0" fontId="4" fillId="5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0" fontId="9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1" fillId="0" borderId="0" xfId="0" applyFont="1" applyFill="1"/>
    <xf numFmtId="1" fontId="4" fillId="3" borderId="4" xfId="0" applyNumberFormat="1" applyFont="1" applyFill="1" applyBorder="1" applyAlignment="1">
      <alignment horizontal="center" vertical="center" wrapText="1"/>
    </xf>
    <xf numFmtId="0" fontId="4" fillId="0" borderId="0" xfId="2" applyNumberFormat="1" applyFont="1" applyBorder="1" applyAlignment="1">
      <alignment horizontal="left" vertical="center" wrapText="1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1" fontId="4" fillId="2" borderId="4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 applyProtection="1">
      <alignment vertical="center" wrapText="1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5" xfId="2" applyNumberFormat="1" applyFont="1" applyBorder="1" applyAlignment="1">
      <alignment horizontal="left" vertical="center" wrapText="1"/>
    </xf>
    <xf numFmtId="0" fontId="4" fillId="0" borderId="1" xfId="2" applyNumberFormat="1" applyFont="1" applyBorder="1" applyAlignment="1">
      <alignment horizontal="left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left"/>
    </xf>
    <xf numFmtId="0" fontId="13" fillId="9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/>
    </xf>
    <xf numFmtId="0" fontId="12" fillId="0" borderId="0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</cellXfs>
  <cellStyles count="35">
    <cellStyle name="20% - Акцент1" xfId="17" xr:uid="{00000000-0005-0000-0000-000000000000}"/>
    <cellStyle name="20% - Акцент2" xfId="18" xr:uid="{00000000-0005-0000-0000-000001000000}"/>
    <cellStyle name="20% - Акцент3" xfId="19" xr:uid="{00000000-0005-0000-0000-000002000000}"/>
    <cellStyle name="20% - Акцент4" xfId="20" xr:uid="{00000000-0005-0000-0000-000003000000}"/>
    <cellStyle name="20% - Акцент5" xfId="21" xr:uid="{00000000-0005-0000-0000-000004000000}"/>
    <cellStyle name="20% - Акцент6" xfId="22" xr:uid="{00000000-0005-0000-0000-000005000000}"/>
    <cellStyle name="40% - Акцент1" xfId="23" xr:uid="{00000000-0005-0000-0000-000006000000}"/>
    <cellStyle name="40% - Акцент2" xfId="24" xr:uid="{00000000-0005-0000-0000-000007000000}"/>
    <cellStyle name="40% - Акцент3" xfId="25" xr:uid="{00000000-0005-0000-0000-000008000000}"/>
    <cellStyle name="40% - Акцент4" xfId="26" xr:uid="{00000000-0005-0000-0000-000009000000}"/>
    <cellStyle name="40% - Акцент5" xfId="27" xr:uid="{00000000-0005-0000-0000-00000A000000}"/>
    <cellStyle name="40% - Акцент6" xfId="28" xr:uid="{00000000-0005-0000-0000-00000B000000}"/>
    <cellStyle name="60% - Акцент1" xfId="29" xr:uid="{00000000-0005-0000-0000-00000C000000}"/>
    <cellStyle name="60% - Акцент2" xfId="30" xr:uid="{00000000-0005-0000-0000-00000D000000}"/>
    <cellStyle name="60% - Акцент3" xfId="31" xr:uid="{00000000-0005-0000-0000-00000E000000}"/>
    <cellStyle name="60% - Акцент4" xfId="32" xr:uid="{00000000-0005-0000-0000-00000F000000}"/>
    <cellStyle name="60% - Акцент5" xfId="33" xr:uid="{00000000-0005-0000-0000-000010000000}"/>
    <cellStyle name="60% - Акцент6" xfId="34" xr:uid="{00000000-0005-0000-0000-000011000000}"/>
    <cellStyle name="Обычный" xfId="0" builtinId="0"/>
    <cellStyle name="Обычный 2" xfId="3" xr:uid="{00000000-0005-0000-0000-000013000000}"/>
    <cellStyle name="Обычный 2 2" xfId="4" xr:uid="{00000000-0005-0000-0000-000014000000}"/>
    <cellStyle name="Обычный 2 2 2" xfId="5" xr:uid="{00000000-0005-0000-0000-000015000000}"/>
    <cellStyle name="Обычный 2 3" xfId="6" xr:uid="{00000000-0005-0000-0000-000016000000}"/>
    <cellStyle name="Обычный 2 4" xfId="7" xr:uid="{00000000-0005-0000-0000-000017000000}"/>
    <cellStyle name="Обычный 2_Техническое задание" xfId="15" xr:uid="{00000000-0005-0000-0000-000018000000}"/>
    <cellStyle name="Обычный 3" xfId="1" xr:uid="{00000000-0005-0000-0000-000019000000}"/>
    <cellStyle name="Обычный 3 2" xfId="14" xr:uid="{00000000-0005-0000-0000-00001A000000}"/>
    <cellStyle name="Обычный 3_Техническое задание" xfId="16" xr:uid="{00000000-0005-0000-0000-00001B000000}"/>
    <cellStyle name="Обычный 4" xfId="8" xr:uid="{00000000-0005-0000-0000-00001C000000}"/>
    <cellStyle name="Обычный 4 2" xfId="9" xr:uid="{00000000-0005-0000-0000-00001D000000}"/>
    <cellStyle name="Обычный 5" xfId="10" xr:uid="{00000000-0005-0000-0000-00001E000000}"/>
    <cellStyle name="Обычный_ВЛ-6кВ №4, №5 (на сайте)" xfId="2" xr:uid="{00000000-0005-0000-0000-00001F000000}"/>
    <cellStyle name="Стиль 1" xfId="11" xr:uid="{00000000-0005-0000-0000-000020000000}"/>
    <cellStyle name="Стиль 1 2" xfId="12" xr:uid="{00000000-0005-0000-0000-000021000000}"/>
    <cellStyle name="Стиль 1 3" xfId="13" xr:uid="{00000000-0005-0000-0000-00002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901</xdr:row>
      <xdr:rowOff>0</xdr:rowOff>
    </xdr:from>
    <xdr:to>
      <xdr:col>1</xdr:col>
      <xdr:colOff>561975</xdr:colOff>
      <xdr:row>901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34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498021</xdr:colOff>
      <xdr:row>901</xdr:row>
      <xdr:rowOff>0</xdr:rowOff>
    </xdr:from>
    <xdr:to>
      <xdr:col>1</xdr:col>
      <xdr:colOff>574221</xdr:colOff>
      <xdr:row>901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45696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161925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438150</xdr:colOff>
      <xdr:row>901</xdr:row>
      <xdr:rowOff>0</xdr:rowOff>
    </xdr:from>
    <xdr:to>
      <xdr:col>0</xdr:col>
      <xdr:colOff>510948</xdr:colOff>
      <xdr:row>901</xdr:row>
      <xdr:rowOff>161925</xdr:rowOff>
    </xdr:to>
    <xdr:sp macro="" textlink="">
      <xdr:nvSpPr>
        <xdr:cNvPr id="28" name="Text Box 2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38150" y="42129075"/>
          <a:ext cx="71437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123825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901</xdr:row>
      <xdr:rowOff>0</xdr:rowOff>
    </xdr:from>
    <xdr:to>
      <xdr:col>1</xdr:col>
      <xdr:colOff>523875</xdr:colOff>
      <xdr:row>901</xdr:row>
      <xdr:rowOff>123825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95350" y="42129075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6" name="Text Box 108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158177</xdr:rowOff>
    </xdr:to>
    <xdr:sp macro="" textlink="">
      <xdr:nvSpPr>
        <xdr:cNvPr id="37" name="Text Box 107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520473</xdr:colOff>
      <xdr:row>901</xdr:row>
      <xdr:rowOff>162596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71437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47" name="Text Box 1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48" name="Text Box 1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50" name="Text Box 1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51" name="Text Box 1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2" name="Text Box 1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55" name="Text Box 17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57" name="Text Box 1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59" name="Text Box 1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60" name="Text Box 1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62" name="Text Box 1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159203</xdr:rowOff>
    </xdr:to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59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65" name="Text Box 1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159204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159204</xdr:rowOff>
    </xdr:to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4" name="Text Box 14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159204</xdr:rowOff>
    </xdr:to>
    <xdr:sp macro="" textlink="">
      <xdr:nvSpPr>
        <xdr:cNvPr id="75" name="Text Box 1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7" name="Text Box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0" name="Text Box 1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2" name="Text Box 14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3" name="Text Box 1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5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7" name="Text Box 1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0" name="Text Box 1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1" name="Text Box 1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3" name="Text Box 1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96" name="Text Box 1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0" name="Text Box 1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2" name="Text Box 1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4" name="Text Box 1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8" name="Text Box 1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111" name="Text Box 1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112" name="Text Box 17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901</xdr:row>
      <xdr:rowOff>0</xdr:rowOff>
    </xdr:from>
    <xdr:to>
      <xdr:col>3</xdr:col>
      <xdr:colOff>76200</xdr:colOff>
      <xdr:row>901</xdr:row>
      <xdr:rowOff>161925</xdr:rowOff>
    </xdr:to>
    <xdr:sp macro="" textlink="">
      <xdr:nvSpPr>
        <xdr:cNvPr id="113" name="Text Box 1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751522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457200</xdr:colOff>
      <xdr:row>901</xdr:row>
      <xdr:rowOff>0</xdr:rowOff>
    </xdr:from>
    <xdr:to>
      <xdr:col>1</xdr:col>
      <xdr:colOff>21770</xdr:colOff>
      <xdr:row>901</xdr:row>
      <xdr:rowOff>161925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1619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8" name="Text Box 1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19" name="Text Box 1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2" name="Text Box 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4" name="Text Box 1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5" name="Text Box 1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32" name="Text Box 1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3" name="Text Box 1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5" name="Text Box 1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6" name="Text Box 1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2" name="Text Box 1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3" name="Text Box 1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4" name="Text Box 14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5" name="Text Box 1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6" name="Text Box 1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901</xdr:row>
      <xdr:rowOff>161925</xdr:rowOff>
    </xdr:to>
    <xdr:sp macro="" textlink="">
      <xdr:nvSpPr>
        <xdr:cNvPr id="147" name="Text Box 1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904875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48" name="Text Box 1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49" name="Text Box 1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0" name="Text Box 17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1" name="Text Box 17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2" name="Text Box 17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3" name="Text Box 1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55" name="Text Box 1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435769</xdr:colOff>
      <xdr:row>901</xdr:row>
      <xdr:rowOff>0</xdr:rowOff>
    </xdr:from>
    <xdr:to>
      <xdr:col>0</xdr:col>
      <xdr:colOff>440532</xdr:colOff>
      <xdr:row>901</xdr:row>
      <xdr:rowOff>159520</xdr:rowOff>
    </xdr:to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35769" y="42450544"/>
          <a:ext cx="4763" cy="15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164284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164284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164284</xdr:rowOff>
    </xdr:to>
    <xdr:sp macro="" textlink="">
      <xdr:nvSpPr>
        <xdr:cNvPr id="160" name="Text Box 1080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161903</xdr:rowOff>
    </xdr:to>
    <xdr:sp macro="" textlink="">
      <xdr:nvSpPr>
        <xdr:cNvPr id="161" name="Text Box 107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164284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7" name="Text 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447675</xdr:colOff>
      <xdr:row>901</xdr:row>
      <xdr:rowOff>0</xdr:rowOff>
    </xdr:from>
    <xdr:to>
      <xdr:col>0</xdr:col>
      <xdr:colOff>449036</xdr:colOff>
      <xdr:row>901</xdr:row>
      <xdr:rowOff>157819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47675" y="42129075"/>
          <a:ext cx="0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70" name="Text Box 1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71" name="Text Box 1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381000</xdr:colOff>
      <xdr:row>901</xdr:row>
      <xdr:rowOff>0</xdr:rowOff>
    </xdr:from>
    <xdr:to>
      <xdr:col>4</xdr:col>
      <xdr:colOff>457200</xdr:colOff>
      <xdr:row>901</xdr:row>
      <xdr:rowOff>161925</xdr:rowOff>
    </xdr:to>
    <xdr:sp macro="" textlink="">
      <xdr:nvSpPr>
        <xdr:cNvPr id="173" name="Text Box 1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9201150" y="4212907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485775</xdr:colOff>
      <xdr:row>901</xdr:row>
      <xdr:rowOff>0</xdr:rowOff>
    </xdr:from>
    <xdr:ext cx="76200" cy="16192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0908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498021</xdr:colOff>
      <xdr:row>901</xdr:row>
      <xdr:rowOff>0</xdr:rowOff>
    </xdr:from>
    <xdr:ext cx="76200" cy="16192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10313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77" name="Text Box 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78" name="Text Box 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80" name="Text Box 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83" name="Text Box 1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84" name="Text Box 1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85" name="Text Box 1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86" name="Text Box 1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61925"/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6" name="Text Box 1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" name="Text Box 1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9" name="Text Box 2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0" name="Text Box 2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38150" y="7475444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23825"/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447675</xdr:colOff>
      <xdr:row>901</xdr:row>
      <xdr:rowOff>0</xdr:rowOff>
    </xdr:from>
    <xdr:ext cx="76200" cy="123825"/>
    <xdr:sp macro="" textlink="">
      <xdr:nvSpPr>
        <xdr:cNvPr id="203" name="Text Box 1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052793" y="74754441"/>
          <a:ext cx="76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" name="Text Box 108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09" name="Text Box 107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3" name="Text Box 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8" name="Text Box 1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9" name="Text Box 1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0" name="Text Box 1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1" name="Text Box 1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2" name="Text Box 1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3" name="Text Box 1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4" name="Text Box 14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5" name="Text Box 1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6" name="Text Box 1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27" name="Text Box 17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29" name="Text Box 1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32" name="Text Box 1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33" name="Text Box 17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35" name="Text Box 1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59203"/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59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59204"/>
    <xdr:sp macro="" textlink="">
      <xdr:nvSpPr>
        <xdr:cNvPr id="238" name="Text Box 14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40" name="Text Box 17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59204"/>
    <xdr:sp macro="" textlink="">
      <xdr:nvSpPr>
        <xdr:cNvPr id="241" name="Text Box 19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242" name="Text Box 1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243" name="Text Box 1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44" name="Text Box 17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45" name="Text Box 17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46" name="Text Box 14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49" name="Text Box 1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1" name="Text Box 19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2" name="Text Box 1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3" name="Text Box 1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4" name="Text Box 1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6" name="Text Box 14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8" name="Text Box 1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0" name="Text Box 1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1" name="Text Box 1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2" name="Text Box 14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3" name="Text Box 1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4" name="Text Box 1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66" name="Text Box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67" name="Text Box 17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69" name="Text Box 17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2" name="Text Box 14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3" name="Text Box 1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4" name="Text Box 14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8" name="Text Box 1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80" name="Text Box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81" name="Text Box 1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83" name="Text Box 17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84" name="Text Box 17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901</xdr:row>
      <xdr:rowOff>0</xdr:rowOff>
    </xdr:from>
    <xdr:ext cx="76200" cy="161925"/>
    <xdr:sp macro="" textlink="">
      <xdr:nvSpPr>
        <xdr:cNvPr id="285" name="Text Box 17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7676029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7" name="Text Box 1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8" name="Text Box 1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57200" y="7475444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89" name="Text Box 1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0" name="Text Box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1" name="Text Box 1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2" name="Text Box 14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3" name="Text Box 1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4" name="Text Box 14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7" name="Text Box 1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0" name="Text Box 1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1" name="Text Box 1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2" name="Text Box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03" name="Text Box 17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04" name="Text Box 17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5" name="Text Box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6" name="Text Box 14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7" name="Text Box 1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1" name="Text Box 1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2" name="Text Box 1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3" name="Text Box 1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4" name="Text Box 14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6" name="Text Box 1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7" name="Text Box 1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8" name="Text Box 14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457200</xdr:colOff>
      <xdr:row>901</xdr:row>
      <xdr:rowOff>0</xdr:rowOff>
    </xdr:from>
    <xdr:ext cx="76200" cy="161925"/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062318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0" name="Text Box 1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1" name="Text Box 17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2" name="Text Box 17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3" name="Text Box 17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4" name="Text Box 1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6" name="Text Box 1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27" name="Text Box 1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35769" y="74754441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32" name="Text Box 108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33" name="Text Box 1075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6" name="Text Box 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47675" y="7475444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42" name="Text Box 17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43" name="Text Box 17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44" name="Text Box 17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901</xdr:row>
      <xdr:rowOff>0</xdr:rowOff>
    </xdr:from>
    <xdr:ext cx="76200" cy="161925"/>
    <xdr:sp macro="" textlink="">
      <xdr:nvSpPr>
        <xdr:cNvPr id="345" name="Text Box 17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9356912" y="74754441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48" name="Text Box 5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49" name="Text Box 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50" name="Text Box 17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51" name="Text Box 18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53" name="Text Box 20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54" name="Text Box 2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38150" y="236043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58" name="Text Box 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59" name="Text Box 108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60" name="Text Box 1075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2" name="Text Box 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68" name="Text Box 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69" name="Text Box 1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0" name="Text Box 1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1" name="Text Box 1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2" name="Text Box 1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3" name="Text Box 1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74" name="Text Box 18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5" name="Text Box 1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76" name="Text Box 1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457200" y="236043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35769" y="236043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81" name="Text Box 1080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82" name="Text Box 107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4" name="Text Box 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5" name="Text Box 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447675" y="236043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4" name="Text Box 17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5" name="Text Box 18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7" name="Text Box 20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98" name="Text Box 2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3" name="Text Box 1080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404" name="Text Box 107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10" name="Text Box 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12" name="Text Box 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3" name="Text Box 1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4" name="Text Box 1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5" name="Text Box 1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6" name="Text Box 1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7" name="Text Box 1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418" name="Text Box 18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19" name="Text Box 1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20" name="Text Box 1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35769" y="237186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24" name="Text Box 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25" name="Text Box 1080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426" name="Text Box 107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27" name="Text Box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31" name="Text Box 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38" name="Text Box 17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39" name="Text Box 18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41" name="Text Box 2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42" name="Text Box 2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3" name="Text Box 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7" name="Text Box 1080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448" name="Text Box 1075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0" name="Text Box 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1" name="Text Box 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57" name="Text Box 13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58" name="Text Box 1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59" name="Text Box 1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60" name="Text Box 1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61" name="Text Box 1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462" name="Text Box 1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63" name="Text Box 1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464" name="Text Box 1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35769" y="237186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69" name="Text Box 1080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470" name="Text Box 107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3" name="Text Box 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5" name="Text Box 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7" name="Text Box 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2" name="Text Box 17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3" name="Text Box 18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5" name="Text Box 20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486" name="Text Box 2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38150" y="240234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87" name="Text Box 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0" name="Text Box 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1" name="Text Box 1080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492" name="Text Box 1075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6" name="Text Box 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7" name="Text Box 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8" name="Text Box 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00" name="Text Box 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1" name="Text Box 13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2" name="Text Box 1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3" name="Text Box 13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4" name="Text Box 1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5" name="Text Box 1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7" name="Text Box 1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08" name="Text Box 1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57200" y="240234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509" name="Text Box 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35769" y="240234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13" name="Text Box 1080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514" name="Text Box 107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16" name="Text Box 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22" name="Text Box 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47675" y="240234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4" name="Text Box 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5" name="Text Box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6" name="Text Box 17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7" name="Text Box 1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29" name="Text Box 20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30" name="Text Box 2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38150" y="238329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5" name="Text Box 1080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536" name="Text Box 107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8" name="Text Box 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39" name="Text Box 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40" name="Text Box 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41" name="Text Box 3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42" name="Text Box 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45" name="Text Box 1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46" name="Text Box 1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47" name="Text Box 13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48" name="Text Box 1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49" name="Text Box 1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550" name="Text Box 18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51" name="Text Box 13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52" name="Text Box 1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57200" y="238329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553" name="Text Box 3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35769" y="238329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57" name="Text Box 1080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558" name="Text Box 1075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1" name="Text Box 3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2" name="Text Box 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3" name="Text Box 3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5" name="Text Box 3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566" name="Text Box 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47675" y="238329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68" name="Text Box 5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69" name="Text Box 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70" name="Text Box 17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71" name="Text Box 18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72" name="Text Box 19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73" name="Text Box 20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574" name="Text Box 2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38150" y="23718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75" name="Text Box 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79" name="Text Box 108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580" name="Text Box 107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3" name="Text Box 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5" name="Text Box 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588" name="Text Box 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89" name="Text Box 13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0" name="Text Box 1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1" name="Text Box 1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2" name="Text Box 1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3" name="Text Box 1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594" name="Text Box 18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5" name="Text Box 1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596" name="Text Box 1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57200" y="23718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597" name="Text Box 3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35769" y="237186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98" name="Text Box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01" name="Text Box 1080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602" name="Text Box 1075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5" name="Text Box 3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10" name="Text Box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47675" y="23718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2" name="Text Box 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4" name="Text Box 1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5" name="Text Box 1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7" name="Text Box 20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18" name="Text Box 2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38150" y="24099610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2" name="Text Box 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3" name="Text Box 108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624" name="Text Box 107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7" name="Text Box 3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29" name="Text Box 3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30" name="Text Box 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3" name="Text Box 1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4" name="Text Box 1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5" name="Text Box 13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6" name="Text Box 1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638" name="Text Box 18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39" name="Text Box 1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40" name="Text Box 1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57200" y="24099610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35769" y="24099610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45" name="Text Box 1080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646" name="Text Box 1075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48" name="Text Box 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49" name="Text Box 3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52" name="Text Box 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54" name="Text Box 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447675" y="24099610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56" name="Text Box 5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57" name="Text Box 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58" name="Text Box 17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59" name="Text Box 18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61" name="Text Box 2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62" name="Text Box 2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6" name="Text Box 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7" name="Text Box 1080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668" name="Text Box 107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0" name="Text Box 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4" name="Text Box 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77" name="Text Box 1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78" name="Text Box 1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79" name="Text Box 13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80" name="Text Box 1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81" name="Text Box 1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682" name="Text Box 1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83" name="Text Box 1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684" name="Text Box 1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435769" y="24256092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88" name="Text Box 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89" name="Text Box 1080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690" name="Text Box 107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2" name="Text Box 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4" name="Text Box 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0" name="Text Box 5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2" name="Text Box 17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3" name="Text Box 18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5" name="Text Box 20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06" name="Text Box 2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1" name="Text Box 1080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712" name="Text Box 1075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4" name="Text Box 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7" name="Text Box 3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8" name="Text Box 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20" name="Text Box 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1" name="Text Box 13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2" name="Text Box 1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3" name="Text Box 1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4" name="Text Box 1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5" name="Text Box 1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726" name="Text Box 18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7" name="Text Box 13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28" name="Text Box 1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729" name="Text Box 3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435769" y="24256092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32" name="Text Box 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33" name="Text Box 108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734" name="Text Box 107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4" name="Text Box 5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6" name="Text Box 17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7" name="Text Box 1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49" name="Text Box 20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50" name="Text Box 2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1" name="Text Box 3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3" name="Text Box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4" name="Text Box 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5" name="Text Box 1080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756" name="Text Box 107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8" name="Text Box 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65" name="Text Box 1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66" name="Text Box 1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67" name="Text Box 13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68" name="Text Box 1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69" name="Text Box 1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770" name="Text Box 18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71" name="Text Box 13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772" name="Text Box 1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435769" y="24256092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77" name="Text Box 108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778" name="Text Box 107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1" name="Text Box 3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3" name="Text Box 3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88" name="Text Box 5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89" name="Text Box 6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90" name="Text Box 17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91" name="Text Box 18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92" name="Text Box 19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93" name="Text Box 20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794" name="Text Box 2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799" name="Text Box 1080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800" name="Text Box 1075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2" name="Text Box 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5" name="Text Box 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6" name="Text Box 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08" name="Text Box 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09" name="Text Box 13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0" name="Text Box 1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1" name="Text Box 1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2" name="Text Box 1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3" name="Text Box 1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814" name="Text Box 18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5" name="Text Box 13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16" name="Text Box 1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817" name="Text Box 3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435769" y="24256092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21" name="Text Box 1080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822" name="Text Box 107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5" name="Text Box 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7" name="Text Box 3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8" name="Text Box 3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2" name="Text Box 5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3" name="Text Box 6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4" name="Text Box 17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5" name="Text Box 18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7" name="Text Box 20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38" name="Text Box 2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438150" y="24256092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3" name="Text Box 108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844" name="Text Box 1075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6" name="Text Box 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7" name="Text Box 3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8" name="Text Box 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49" name="Text Box 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3" name="Text Box 13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4" name="Text Box 1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5" name="Text Box 13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6" name="Text Box 1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7" name="Text Box 1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858" name="Text Box 1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59" name="Text Box 13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60" name="Text Box 1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57200" y="24256092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861" name="Text Box 3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35769" y="24256092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65" name="Text Box 1080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866" name="Text Box 1075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69" name="Text Box 3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71" name="Text Box 3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72" name="Text Box 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874" name="Text Box 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47675" y="24256092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76" name="Text Box 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77" name="Text Box 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78" name="Text Box 17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79" name="Text Box 18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80" name="Text Box 19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81" name="Text Box 20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882" name="Text Box 21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3" name="Text Box 3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7" name="Text Box 1080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888" name="Text Box 1075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2" name="Text Box 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896" name="Text Box 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97" name="Text Box 13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98" name="Text Box 1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899" name="Text Box 13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00" name="Text Box 1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01" name="Text Box 1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902" name="Text Box 18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03" name="Text Box 13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04" name="Text Box 1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35769" y="2538412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09" name="Text Box 1080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910" name="Text Box 107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2" name="Text Box 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3" name="Text Box 3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4" name="Text Box 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18" name="Text Box 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0" name="Text Box 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1" name="Text Box 6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2" name="Text Box 17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3" name="Text Box 1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5" name="Text Box 2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26" name="Text Box 2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438150" y="25079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0" name="Text Box 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1" name="Text Box 108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932" name="Text Box 107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4" name="Text Box 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5" name="Text Box 3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6" name="Text Box 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7" name="Text Box 3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8" name="Text Box 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39" name="Text Box 3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1" name="Text Box 1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2" name="Text Box 1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3" name="Text Box 1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4" name="Text Box 1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5" name="Text Box 1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946" name="Text Box 18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7" name="Text Box 13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48" name="Text Box 1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57200" y="25079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949" name="Text Box 3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35769" y="2507932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51" name="Text Box 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52" name="Text Box 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53" name="Text Box 1080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954" name="Text Box 1075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56" name="Text Box 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58" name="Text Box 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59" name="Text Box 3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60" name="Text Box 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61" name="Text Box 3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62" name="Text Box 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47675" y="25079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4" name="Text Box 5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5" name="Text Box 6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6" name="Text Box 17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7" name="Text Box 18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69" name="Text Box 20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970" name="Text Box 2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438150" y="253841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3" name="Text Box 2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4" name="Text Box 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5" name="Text Box 1080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976" name="Text Box 1075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8" name="Text Box 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82" name="Text Box 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85" name="Text Box 13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86" name="Text Box 1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87" name="Text Box 13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88" name="Text Box 1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89" name="Text Box 1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990" name="Text Box 18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91" name="Text Box 13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992" name="Text Box 1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457200" y="253841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35769" y="2538412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996" name="Text Box 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97" name="Text Box 1080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998" name="Text Box 1075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999" name="Text Box 2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0" name="Text Box 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2" name="Text Box 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3" name="Text Box 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06" name="Text Box 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47675" y="253841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08" name="Text Box 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09" name="Text Box 6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10" name="Text Box 17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11" name="Text Box 18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13" name="Text Box 20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14" name="Text Box 2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38150" y="2546032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15" name="Text Box 3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18" name="Text Box 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19" name="Text Box 1080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020" name="Text Box 1075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2" name="Text Box 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4" name="Text Box 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6" name="Text Box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28" name="Text Box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29" name="Text Box 1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0" name="Text Box 1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1" name="Text Box 1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2" name="Text Box 1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3" name="Text Box 1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034" name="Text Box 18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5" name="Text Box 1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36" name="Text Box 1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57200" y="2546032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037" name="Text Box 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435769" y="2546032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0" name="Text Box 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41" name="Text Box 1080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042" name="Text Box 1075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5" name="Text Box 3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6" name="Text Box 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8" name="Text Box 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50" name="Text Box 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47675" y="2546032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2" name="Text Box 5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7" name="Text Box 20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58" name="Text Box 2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38150" y="256168071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59" name="Text Box 3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0" name="Text Box 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2" name="Text Box 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3" name="Text Box 1080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064" name="Text Box 1075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6" name="Text Box 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70" name="Text Box 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71" name="Text Box 3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072" name="Text Box 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3" name="Text Box 13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4" name="Text Box 1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5" name="Text Box 1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6" name="Text Box 1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7" name="Text Box 1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078" name="Text Box 18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79" name="Text Box 13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080" name="Text Box 1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57200" y="256168071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35769" y="256168071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84" name="Text Box 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85" name="Text Box 108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086" name="Text Box 107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087" name="Text Box 2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88" name="Text Box 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89" name="Text Box 3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90" name="Text Box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91" name="Text Box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92" name="Text Box 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47675" y="256168071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96" name="Text Box 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97" name="Text Box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98" name="Text Box 1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099" name="Text Box 1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00" name="Text Box 1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01" name="Text Box 2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02" name="Text Box 2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38150" y="260059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3" name="Text Box 3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7" name="Text Box 108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108" name="Text Box 1075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0" name="Text Box 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1" name="Text Box 3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2" name="Text Box 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3" name="Text Box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4" name="Text Box 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5" name="Text Box 3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16" name="Text Box 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17" name="Text Box 1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18" name="Text Box 1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19" name="Text Box 1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20" name="Text Box 1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21" name="Text Box 1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122" name="Text Box 1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23" name="Text Box 13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24" name="Text Box 1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57200" y="260059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35769" y="260059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28" name="Text Box 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29" name="Text Box 1080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130" name="Text Box 107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6" name="Text Box 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7" name="Text Box 3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38" name="Text Box 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47675" y="260059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0" name="Text Box 5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1" name="Text Box 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2" name="Text Box 17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3" name="Text Box 18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5" name="Text Box 20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46" name="Text Box 2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38150" y="25887589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1" name="Text Box 1080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152" name="Text Box 1075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4" name="Text 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5" name="Text Box 3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6" name="Text Box 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7" name="Text Box 3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1" name="Text Box 1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2" name="Text Box 1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3" name="Text Box 13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4" name="Text Box 1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5" name="Text Box 1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166" name="Text Box 1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7" name="Text Box 1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168" name="Text Box 1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57200" y="25887589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169" name="Text Box 3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35769" y="25887589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73" name="Text Box 108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174" name="Text Box 107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77" name="Text Box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78" name="Text Box 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79" name="Text Box 3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81" name="Text Box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182" name="Text Box 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47675" y="2588758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4" name="Text Box 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5" name="Text Box 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6" name="Text Box 1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7" name="Text Box 1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8" name="Text Box 1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89" name="Text Box 2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190" name="Text Box 2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1" name="Text Box 3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4" name="Text Box 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5" name="Text Box 1080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196" name="Text Box 1075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7" name="Text Box 2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199" name="Text Box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03" name="Text Box 3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04" name="Text Box 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05" name="Text Box 13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06" name="Text Box 1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07" name="Text Box 13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08" name="Text Box 1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09" name="Text Box 1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210" name="Text Box 18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11" name="Text Box 13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12" name="Text Box 1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213" name="Text Box 3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35769" y="263720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14" name="Text Box 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16" name="Text Box 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17" name="Text Box 1080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218" name="Text Box 1075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19" name="Text Box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4" name="Text Box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5" name="Text Box 3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28" name="Text Box 5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29" name="Text Box 6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30" name="Text Box 17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31" name="Text Box 18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33" name="Text Box 20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34" name="Text Box 2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35" name="Text Box 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38" name="Text Box 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39" name="Text Box 1080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240" name="Text Box 1075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1" name="Text Box 2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2" name="Text Box 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3" name="Text Box 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4" name="Text Box 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5" name="Text Box 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49" name="Text Box 13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0" name="Text Box 1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1" name="Text Box 1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2" name="Text Box 1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3" name="Text Box 1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254" name="Text Box 18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5" name="Text Box 13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56" name="Text Box 1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257" name="Text Box 3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35769" y="263720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61" name="Text Box 1080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262" name="Text Box 1075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8" name="Text Box 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69" name="Text Box 3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270" name="Text Box 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2" name="Text Box 5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4" name="Text Box 17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5" name="Text Box 18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7" name="Text Box 20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278" name="Text Box 2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38150" y="263720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3" name="Text Box 1080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284" name="Text Box 1075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89" name="Text Box 3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3" name="Text Box 1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4" name="Text Box 1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5" name="Text Box 1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6" name="Text Box 1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7" name="Text Box 1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298" name="Text Box 18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299" name="Text Box 1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00" name="Text Box 1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57200" y="263720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301" name="Text Box 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35769" y="263720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03" name="Text Box 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05" name="Text Box 1080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306" name="Text Box 1075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08" name="Text Box 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09" name="Text Box 3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10" name="Text Box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11" name="Text Box 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47675" y="263720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16" name="Text Box 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18" name="Text Box 1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19" name="Text Box 1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21" name="Text Box 20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22" name="Text Box 2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3" name="Text Box 3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5" name="Text Box 2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7" name="Text Box 108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328" name="Text Box 1075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1" name="Text Box 3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2" name="Text Box 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3" name="Text Box 3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4" name="Text Box 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5" name="Text Box 3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36" name="Text Box 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37" name="Text Box 1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38" name="Text Box 1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39" name="Text Box 1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41" name="Text Box 1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342" name="Text Box 18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43" name="Text Box 13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44" name="Text Box 1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345" name="Text Box 3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35769" y="269816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47" name="Text Box 2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48" name="Text Box 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49" name="Text Box 1080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350" name="Text Box 1075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51" name="Text Box 2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3" name="Text Box 3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5" name="Text Box 3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6" name="Text Box 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7" name="Text Box 3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58" name="Text Box 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0" name="Text Box 5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1" name="Text Box 6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2" name="Text Box 17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3" name="Text Box 18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4" name="Text Box 19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5" name="Text Box 20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366" name="Text Box 2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38150" y="26829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67" name="Text Box 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68" name="Text Box 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0" name="Text Box 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1" name="Text Box 108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372" name="Text Box 1075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3" name="Text Box 2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5" name="Text Box 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1" name="Text Box 1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2" name="Text Box 1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3" name="Text Box 1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5" name="Text Box 1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386" name="Text Box 18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7" name="Text Box 13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388" name="Text Box 1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457200" y="26829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389" name="Text Box 3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435769" y="268292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90" name="Text Box 2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92" name="Text Box 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93" name="Text Box 108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394" name="Text Box 1075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96" name="Text Box 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98" name="Text Box 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399" name="Text Box 3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00" name="Text Box 3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02" name="Text Box 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447675" y="26829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4" name="Text Box 5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5" name="Text Box 6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6" name="Text Box 17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7" name="Text Box 18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09" name="Text Box 20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10" name="Text Box 2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38150" y="269816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1" name="Text Box 3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3" name="Text Box 2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5" name="Text Box 1080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416" name="Text Box 1075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21" name="Text Box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22" name="Text Box 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23" name="Text Box 3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24" name="Text Box 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25" name="Text Box 13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26" name="Text Box 1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27" name="Text Box 1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28" name="Text Box 1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29" name="Text Box 1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430" name="Text Box 18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31" name="Text Box 1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32" name="Text Box 1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57200" y="269816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435769" y="269816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36" name="Text Box 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37" name="Text Box 1080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438" name="Text Box 1075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2" name="Text Box 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447675" y="269816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48" name="Text Box 5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49" name="Text Box 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50" name="Text Box 17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51" name="Text Box 18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52" name="Text Box 19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53" name="Text Box 20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54" name="Text Box 2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38150" y="27210203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55" name="Text Box 3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58" name="Text Box 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59" name="Text Box 1080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460" name="Text Box 1075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2" name="Text Box 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3" name="Text Box 3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4" name="Text Box 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6" name="Text Box 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68" name="Text Box 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69" name="Text Box 13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0" name="Text Box 1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1" name="Text Box 1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2" name="Text Box 1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3" name="Text Box 1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474" name="Text Box 18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5" name="Text Box 13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476" name="Text Box 1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57200" y="27210203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35769" y="27210203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78" name="Text Box 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0" name="Text Box 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81" name="Text Box 1080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482" name="Text Box 107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483" name="Text Box 2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6" name="Text Box 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8" name="Text Box 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89" name="Text Box 3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47675" y="27210203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2" name="Text Box 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3" name="Text Box 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4" name="Text Box 17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5" name="Text Box 18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6" name="Text Box 19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7" name="Text Box 20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498" name="Text Box 2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499" name="Text Box 3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1" name="Text Box 2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2" name="Text Box 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3" name="Text Box 1080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504" name="Text Box 1075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5" name="Text Box 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6" name="Text Box 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7" name="Text Box 3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8" name="Text Box 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11" name="Text Box 3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12" name="Text Box 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3" name="Text Box 13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4" name="Text Box 1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5" name="Text Box 13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6" name="Text Box 1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7" name="Text Box 1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518" name="Text Box 18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19" name="Text Box 13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20" name="Text Box 1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521" name="Text Box 3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435769" y="275544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22" name="Text Box 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24" name="Text Box 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25" name="Text Box 1080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526" name="Text Box 1075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28" name="Text Box 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30" name="Text Box 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32" name="Text Box 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34" name="Text Box 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36" name="Text Box 5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37" name="Text Box 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38" name="Text Box 17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39" name="Text Box 18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40" name="Text Box 19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41" name="Text Box 20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42" name="Text Box 21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438150" y="27554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6" name="Text Box 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7" name="Text Box 1080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548" name="Text Box 107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0" name="Text Box 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1" name="Text Box 3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2" name="Text Box 3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3" name="Text Box 3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4" name="Text Box 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56" name="Text Box 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57" name="Text Box 13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58" name="Text Box 1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59" name="Text Box 13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60" name="Text Box 1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61" name="Text Box 14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562" name="Text Box 18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63" name="Text Box 13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564" name="Text Box 1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57200" y="27554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565" name="Text Box 3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35769" y="275544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69" name="Text Box 1080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570" name="Text Box 1075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571" name="Text Box 2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2" name="Text Box 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4" name="Text Box 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5" name="Text Box 3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7" name="Text Box 3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578" name="Text Box 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47675" y="27554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0" name="Text Box 5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1" name="Text Box 6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2" name="Text Box 17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3" name="Text Box 18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5" name="Text Box 20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586" name="Text Box 21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87" name="Text Box 3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89" name="Text Box 2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0" name="Text Box 3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1" name="Text Box 1080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592" name="Text Box 1075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5" name="Text Box 3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6" name="Text Box 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00" name="Text Box 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1" name="Text Box 1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2" name="Text Box 1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3" name="Text Box 13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4" name="Text Box 1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5" name="Text Box 1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606" name="Text Box 1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7" name="Text Box 1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08" name="Text Box 1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609" name="Text Box 3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35769" y="276687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10" name="Text Box 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13" name="Text Box 1080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614" name="Text Box 1075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15" name="Text Box 2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16" name="Text Box 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19" name="Text Box 3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20" name="Text Box 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21" name="Text Box 3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22" name="Text Box 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4" name="Text Box 5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6" name="Text Box 17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7" name="Text Box 18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29" name="Text Box 20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30" name="Text Box 2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438150" y="27668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4" name="Text Box 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5" name="Text Box 1080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636" name="Text Box 107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7" name="Text Box 2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8" name="Text Box 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39" name="Text Box 3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40" name="Text Box 3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42" name="Text Box 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45" name="Text Box 1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46" name="Text Box 1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47" name="Text Box 13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48" name="Text Box 1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49" name="Text Box 1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650" name="Text Box 18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51" name="Text Box 13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52" name="Text Box 1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457200" y="27668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653" name="Text Box 3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435769" y="276687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54" name="Text Box 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57" name="Text Box 1080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658" name="Text Box 1075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0" name="Text Box 3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1" name="Text Box 3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3" name="Text Box 3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5" name="Text Box 3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666" name="Text Box 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447675" y="27668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68" name="Text Box 5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69" name="Text Box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70" name="Text Box 17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71" name="Text Box 18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73" name="Text Box 2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674" name="Text Box 2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438150" y="284307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75" name="Text Box 3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76" name="Text Box 2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78" name="Text Box 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79" name="Text Box 1080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680" name="Text Box 1075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5" name="Text Box 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6" name="Text Box 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89" name="Text Box 13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0" name="Text Box 1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1" name="Text Box 13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2" name="Text Box 13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3" name="Text Box 1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694" name="Text Box 18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5" name="Text Box 13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696" name="Text Box 1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457200" y="284307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435769" y="284307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0" name="Text Box 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01" name="Text Box 1080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702" name="Text Box 1075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03" name="Text Box 2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4" name="Text Box 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5" name="Text Box 3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6" name="Text Box 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7" name="Text Box 3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47675" y="284307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2" name="Text Box 5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3" name="Text Box 6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4" name="Text Box 17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5" name="Text Box 18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6" name="Text Box 19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7" name="Text Box 20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18" name="Text Box 2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19" name="Text Box 3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3" name="Text Box 1080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724" name="Text Box 1075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6" name="Text Box 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7" name="Text Box 3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8" name="Text Box 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29" name="Text Box 3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30" name="Text Box 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31" name="Text Box 3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732" name="Text Box 3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3" name="Text Box 13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4" name="Text Box 1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5" name="Text Box 1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6" name="Text Box 1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7" name="Text Box 1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738" name="Text Box 18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39" name="Text Box 13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740" name="Text Box 1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741" name="Text Box 3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435769" y="283164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42" name="Text Box 2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44" name="Text Box 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45" name="Text Box 1080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746" name="Text Box 1075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52" name="Text Box 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53" name="Text Box 3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754" name="Text Box 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0" name="Text Box 5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1" name="Text Box 6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2" name="Text Box 17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3" name="Text Box 18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5" name="Text Box 20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06" name="Text Box 2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438150" y="283164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07" name="Text Box 3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08" name="Text Box 2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09" name="Text Box 2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0" name="Text Box 3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1" name="Text Box 1080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812" name="Text Box 1075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3" name="Text Box 2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4" name="Text Box 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7" name="Text Box 3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8" name="Text Box 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19" name="Text Box 3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1" name="Text Box 13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2" name="Text Box 13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3" name="Text Box 13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4" name="Text Box 1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5" name="Text Box 1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826" name="Text Box 18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7" name="Text Box 13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28" name="Text Box 1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57200" y="283164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829" name="Text Box 3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435769" y="283164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30" name="Text Box 2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32" name="Text Box 3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33" name="Text Box 1080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834" name="Text Box 1075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37" name="Text Box 3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39" name="Text Box 3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40" name="Text Box 3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447675" y="283164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4" name="Text Box 5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5" name="Text Box 6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6" name="Text Box 17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7" name="Text Box 18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8" name="Text Box 19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49" name="Text Box 20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50" name="Text Box 2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438150" y="289260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1" name="Text Box 3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4" name="Text Box 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5" name="Text Box 1080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856" name="Text Box 1075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8" name="Text Box 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59" name="Text Box 3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60" name="Text Box 3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61" name="Text Box 3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62" name="Text Box 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64" name="Text Box 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65" name="Text Box 13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66" name="Text Box 1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67" name="Text Box 13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68" name="Text Box 1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69" name="Text Box 1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870" name="Text Box 18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71" name="Text Box 13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872" name="Text Box 13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57200" y="289260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873" name="Text Box 3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435769" y="289260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75" name="Text Box 2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77" name="Text Box 1080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878" name="Text Box 1075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0" name="Text Box 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1" name="Text Box 3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2" name="Text Box 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3" name="Text Box 3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4" name="Text Box 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5" name="Text Box 3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886" name="Text Box 3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47675" y="289260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88" name="Text Box 5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89" name="Text Box 6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90" name="Text Box 17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91" name="Text Box 18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93" name="Text Box 20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894" name="Text Box 2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98" name="Text Box 3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899" name="Text Box 1080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900" name="Text Box 1075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1" name="Text Box 2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2" name="Text Box 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4" name="Text Box 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5" name="Text Box 3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6" name="Text Box 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08" name="Text Box 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09" name="Text Box 13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0" name="Text Box 13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1" name="Text Box 13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2" name="Text Box 13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3" name="Text Box 1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914" name="Text Box 18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5" name="Text Box 13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16" name="Text Box 1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917" name="Text Box 3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435769" y="290403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18" name="Text Box 2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19" name="Text Box 2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0" name="Text Box 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21" name="Text Box 1080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922" name="Text Box 1075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4" name="Text Box 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5" name="Text Box 3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6" name="Text Box 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8" name="Text Box 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30" name="Text Box 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2" name="Text Box 5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4" name="Text Box 17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5" name="Text Box 18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7" name="Text Box 20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38" name="Text Box 2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438150" y="290403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0" name="Text Box 2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1" name="Text Box 2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2" name="Text Box 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3" name="Text Box 1080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944" name="Text Box 1075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5" name="Text Box 2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6" name="Text Box 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7" name="Text Box 3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8" name="Text Box 3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49" name="Text Box 3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50" name="Text Box 3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51" name="Text Box 3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52" name="Text Box 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3" name="Text Box 13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4" name="Text Box 1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5" name="Text Box 13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6" name="Text Box 1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7" name="Text Box 1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1958" name="Text Box 18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59" name="Text Box 13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60" name="Text Box 1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457200" y="290403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1961" name="Text Box 3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35769" y="290403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62" name="Text Box 2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63" name="Text Box 2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64" name="Text Box 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65" name="Text Box 1080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1966" name="Text Box 1075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1967" name="Text Box 2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68" name="Text Box 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69" name="Text Box 3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70" name="Text Box 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71" name="Text Box 3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72" name="Text Box 3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73" name="Text Box 3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47675" y="290403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6" name="Text Box 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81" name="Text Box 20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1982" name="Text Box 2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438150" y="286212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5" name="Text Box 2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6" name="Text Box 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7" name="Text Box 1080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1988" name="Text Box 1075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0" name="Text Box 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3" name="Text Box 3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97" name="Text Box 13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98" name="Text Box 1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1999" name="Text Box 13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00" name="Text Box 13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002" name="Text Box 18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03" name="Text Box 13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04" name="Text Box 1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457200" y="286212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435769" y="286212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09" name="Text Box 1080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010" name="Text Box 1075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3" name="Text Box 3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4" name="Text Box 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18" name="Text Box 3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447675" y="286212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0" name="Text Box 5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2" name="Text Box 17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3" name="Text Box 18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4" name="Text Box 19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5" name="Text Box 20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26" name="Text Box 2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438150" y="291546643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27" name="Text Box 3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1" name="Text Box 1080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032" name="Text Box 1075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6" name="Text Box 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8" name="Text Box 3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39" name="Text Box 3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40" name="Text Box 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1" name="Text Box 13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2" name="Text Box 1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3" name="Text Box 13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4" name="Text Box 1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5" name="Text Box 1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046" name="Text Box 18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7" name="Text Box 1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48" name="Text Box 1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457200" y="291546643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049" name="Text Box 3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435769" y="291546643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51" name="Text Box 2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52" name="Text Box 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53" name="Text Box 1080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054" name="Text Box 1075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57" name="Text Box 3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58" name="Text Box 3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59" name="Text Box 3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62" name="Text Box 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447675" y="29154664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4" name="Text Box 5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6" name="Text Box 17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7" name="Text Box 18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8" name="Text Box 19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69" name="Text Box 20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070" name="Text Box 2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438150" y="293478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1" name="Text Box 3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2" name="Text Box 2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3" name="Text Box 2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5" name="Text Box 1080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076" name="Text Box 1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7" name="Text Box 2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8" name="Text Box 3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2" name="Text Box 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3" name="Text Box 3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084" name="Text Box 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85" name="Text Box 13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87" name="Text Box 1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88" name="Text Box 1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89" name="Text Box 1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090" name="Text Box 18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91" name="Text Box 13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092" name="Text Box 1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457200" y="293478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435769" y="29347885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94" name="Text Box 2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096" name="Text Box 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97" name="Text Box 1080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098" name="Text Box 1075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099" name="Text Box 2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0" name="Text Box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1" name="Text Box 3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2" name="Text Box 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3" name="Text Box 3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4" name="Text Box 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447675" y="293478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08" name="Text Box 5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09" name="Text Box 6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10" name="Text Box 17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11" name="Text Box 18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12" name="Text Box 19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13" name="Text Box 20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14" name="Text Box 2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438150" y="2958056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5" name="Text Box 3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6" name="Text Box 2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19" name="Text Box 1080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120" name="Text Box 1075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2" name="Text Box 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3" name="Text Box 3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6" name="Text Box 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7" name="Text Box 3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28" name="Text Box 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29" name="Text Box 13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0" name="Text Box 1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1" name="Text Box 13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2" name="Text Box 1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3" name="Text Box 1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134" name="Text Box 18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5" name="Text Box 13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36" name="Text Box 1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457200" y="2958056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435769" y="29580567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39" name="Text Box 2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0" name="Text Box 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41" name="Text Box 1080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142" name="Text Box 1075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8" name="Text Box 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49" name="Text Box 3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50" name="Text Box 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447675" y="2958056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2" name="Text Box 5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3" name="Text Box 6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4" name="Text Box 1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5" name="Text Box 18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6" name="Text Box 19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7" name="Text Box 20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58" name="Text Box 2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438150" y="294240857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1" name="Text Box 2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3" name="Text Box 1080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164" name="Text Box 1075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5" name="Text Box 2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6" name="Text Box 3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69" name="Text Box 3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3" name="Text Box 13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4" name="Text Box 1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5" name="Text Box 13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6" name="Text Box 1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7" name="Text Box 1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178" name="Text Box 1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79" name="Text Box 1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180" name="Text Box 1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457200" y="294240857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181" name="Text Box 3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435769" y="294240857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83" name="Text Box 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85" name="Text Box 1080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186" name="Text Box 1075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187" name="Text Box 2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89" name="Text Box 3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90" name="Text Box 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91" name="Text Box 3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194" name="Text Box 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447675" y="294240857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96" name="Text Box 5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97" name="Text Box 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98" name="Text Box 17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199" name="Text Box 18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01" name="Text Box 20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02" name="Text Box 2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438150" y="299248286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5" name="Text Box 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6" name="Text Box 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7" name="Text Box 1080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208" name="Text Box 1075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09" name="Text Box 2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5" name="Text Box 3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17" name="Text Box 13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18" name="Text Box 1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19" name="Text Box 13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20" name="Text Box 1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21" name="Text Box 1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222" name="Text Box 18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23" name="Text Box 13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24" name="Text Box 1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457200" y="299248286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435769" y="299248286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26" name="Text Box 2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27" name="Text Box 2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28" name="Text Box 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29" name="Text Box 1080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230" name="Text Box 1075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31" name="Text Box 2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2" name="Text Box 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6" name="Text Box 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7" name="Text Box 3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447675" y="299248286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0" name="Text Box 5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1" name="Text Box 6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2" name="Text Box 17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3" name="Text Box 18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4" name="Text Box 19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5" name="Text Box 20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46" name="Text Box 2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438150" y="303235179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47" name="Text Box 3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0" name="Text Box 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1" name="Text Box 1080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252" name="Text Box 1075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3" name="Text Box 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4" name="Text Box 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5" name="Text Box 3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6" name="Text Box 3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7" name="Text Box 3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1" name="Text Box 13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2" name="Text Box 1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3" name="Text Box 13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4" name="Text Box 1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5" name="Text Box 1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266" name="Text Box 18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7" name="Text Box 13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268" name="Text Box 1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457200" y="303235179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269" name="Text Box 3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435769" y="303235179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73" name="Text Box 1080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274" name="Text Box 1075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76" name="Text Box 3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80" name="Text Box 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81" name="Text Box 3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282" name="Text Box 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447675" y="303235179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4" name="Text Box 5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5" name="Text Box 6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6" name="Text Box 17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7" name="Text Box 18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8" name="Text Box 19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89" name="Text Box 20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290" name="Text Box 2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2" name="Text Box 2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5" name="Text Box 1080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296" name="Text Box 1075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01" name="Text Box 3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03" name="Text Box 3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04" name="Text Box 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05" name="Text Box 13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06" name="Text Box 1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07" name="Text Box 13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08" name="Text Box 1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09" name="Text Box 1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310" name="Text Box 18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11" name="Text Box 13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12" name="Text Box 1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313" name="Text Box 3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435769" y="306922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15" name="Text Box 2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17" name="Text Box 1080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318" name="Text Box 1075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0" name="Text Box 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1" name="Text Box 3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28" name="Text Box 5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30" name="Text Box 17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31" name="Text Box 18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32" name="Text Box 19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33" name="Text Box 20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34" name="Text Box 2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438150" y="306922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35" name="Text Box 3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37" name="Text Box 2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39" name="Text Box 1080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340" name="Text Box 1075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1" name="Text Box 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3" name="Text Box 3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4" name="Text Box 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5" name="Text Box 3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6" name="Text Box 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7" name="Text Box 3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48" name="Text Box 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49" name="Text Box 13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0" name="Text Box 1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1" name="Text Box 13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2" name="Text Box 1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3" name="Text Box 1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354" name="Text Box 18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5" name="Text Box 13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56" name="Text Box 1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457200" y="306922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357" name="Text Box 3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435769" y="306922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0" name="Text Box 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61" name="Text Box 1080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362" name="Text Box 1075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363" name="Text Box 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8" name="Text Box 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69" name="Text Box 3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370" name="Text Box 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447675" y="306922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2" name="Text Box 5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3" name="Text Box 6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4" name="Text Box 17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5" name="Text Box 18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6" name="Text Box 19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7" name="Text Box 20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378" name="Text Box 2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0" name="Text Box 2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3" name="Text Box 1080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384" name="Text Box 1075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5" name="Text Box 2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7" name="Text Box 3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8" name="Text Box 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89" name="Text Box 3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90" name="Text Box 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3" name="Text Box 13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4" name="Text Box 1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5" name="Text Box 13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6" name="Text Box 1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7" name="Text Box 1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398" name="Text Box 18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399" name="Text Box 13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00" name="Text Box 1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435769" y="308827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05" name="Text Box 1080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406" name="Text Box 1075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10" name="Text Box 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11" name="Text Box 3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12" name="Text Box 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16" name="Text Box 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18" name="Text Box 1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19" name="Text Box 1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21" name="Text Box 20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22" name="Text Box 2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3" name="Text Box 3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5" name="Text Box 2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6" name="Text Box 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7" name="Text Box 1080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428" name="Text Box 1075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0" name="Text Box 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2" name="Text Box 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4" name="Text Box 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5" name="Text Box 3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36" name="Text Box 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37" name="Text Box 13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38" name="Text Box 1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39" name="Text Box 13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40" name="Text Box 1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41" name="Text Box 1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442" name="Text Box 18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43" name="Text Box 13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44" name="Text Box 1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435769" y="308827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48" name="Text Box 3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49" name="Text Box 1080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450" name="Text Box 1075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51" name="Text Box 2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3" name="Text Box 3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4" name="Text Box 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5" name="Text Box 3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58" name="Text Box 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0" name="Text Box 5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1" name="Text Box 6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2" name="Text Box 17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3" name="Text Box 18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4" name="Text Box 19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5" name="Text Box 20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466" name="Text Box 2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438150" y="308827714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67" name="Text Box 3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69" name="Text Box 2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0" name="Text Box 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1" name="Text Box 1080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472" name="Text Box 1075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4" name="Text Box 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5" name="Text Box 3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480" name="Text Box 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1" name="Text Box 13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2" name="Text Box 1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3" name="Text Box 13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4" name="Text Box 1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5" name="Text Box 1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486" name="Text Box 18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7" name="Text Box 13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488" name="Text Box 13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457200" y="308827714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35769" y="308827714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91" name="Text Box 2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93" name="Text Box 1080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494" name="Text Box 1075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495" name="Text Box 2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96" name="Text Box 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97" name="Text Box 3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98" name="Text Box 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499" name="Text Box 3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01" name="Text Box 3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447675" y="308827714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4" name="Text Box 5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5" name="Text Box 6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6" name="Text Box 17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7" name="Text Box 18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09" name="Text Box 20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10" name="Text Box 2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1" name="Text Box 3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3" name="Text Box 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4" name="Text Box 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5" name="Text Box 1080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516" name="Text Box 1075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7" name="Text Box 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8" name="Text Box 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19" name="Text Box 3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21" name="Text Box 3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22" name="Text Box 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23" name="Text Box 3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24" name="Text Box 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25" name="Text Box 13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26" name="Text Box 13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27" name="Text Box 13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28" name="Text Box 1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29" name="Text Box 1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530" name="Text Box 18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32" name="Text Box 1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533" name="Text Box 3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435769" y="3152203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35" name="Text Box 2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37" name="Text Box 1080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538" name="Text Box 1075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39" name="Text Box 2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0" name="Text Box 3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4" name="Text Box 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48" name="Text Box 5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49" name="Text Box 6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50" name="Text Box 17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51" name="Text Box 18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52" name="Text Box 19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53" name="Text Box 20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54" name="Text Box 2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58" name="Text Box 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59" name="Text Box 1080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560" name="Text Box 1075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1" name="Text Box 2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2" name="Text Box 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3" name="Text Box 3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4" name="Text Box 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5" name="Text Box 3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6" name="Text Box 3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68" name="Text Box 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69" name="Text Box 13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0" name="Text Box 1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1" name="Text Box 13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2" name="Text Box 1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3" name="Text Box 14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574" name="Text Box 18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5" name="Text Box 13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576" name="Text Box 13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577" name="Text Box 3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35769" y="3152203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78" name="Text Box 2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81" name="Text Box 1080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582" name="Text Box 1075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6" name="Text Box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7" name="Text Box 3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8" name="Text Box 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590" name="Text Box 3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2" name="Text Box 5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3" name="Text Box 6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4" name="Text Box 17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5" name="Text Box 18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6" name="Text Box 19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7" name="Text Box 20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598" name="Text Box 21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438150" y="31522035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599" name="Text Box 3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0" name="Text Box 2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3" name="Text Box 1080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604" name="Text Box 1075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8" name="Text Box 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12" name="Text Box 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3" name="Text Box 13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4" name="Text Box 1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5" name="Text Box 13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6" name="Text Box 1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7" name="Text Box 14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618" name="Text Box 18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19" name="Text Box 13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20" name="Text Box 1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57200" y="31522035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621" name="Text Box 3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35769" y="31522035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22" name="Text Box 2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23" name="Text Box 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25" name="Text Box 1080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626" name="Text Box 1075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27" name="Text Box 2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28" name="Text Box 3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29" name="Text Box 3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30" name="Text Box 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31" name="Text Box 3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32" name="Text Box 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33" name="Text Box 3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34" name="Text Box 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47675" y="31522035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36" name="Text Box 5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37" name="Text Box 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38" name="Text Box 17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39" name="Text Box 1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40" name="Text Box 19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41" name="Text Box 20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42" name="Text Box 2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38150" y="31874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6" name="Text Box 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7" name="Text Box 1080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648" name="Text Box 1075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49" name="Text Box 2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0" name="Text Box 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1" name="Text Box 3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3" name="Text Box 3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4" name="Text Box 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56" name="Text Box 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57" name="Text Box 13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58" name="Text Box 1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59" name="Text Box 13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60" name="Text Box 1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61" name="Text Box 1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662" name="Text Box 18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63" name="Text Box 1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664" name="Text Box 1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457200" y="31874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665" name="Text Box 3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435769" y="318744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66" name="Text Box 2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69" name="Text Box 1080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670" name="Text Box 1075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2" name="Text Box 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3" name="Text Box 3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4" name="Text Box 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5" name="Text Box 3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7" name="Text Box 3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678" name="Text Box 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447675" y="31874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0" name="Text Box 5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1" name="Text Box 6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2" name="Text Box 17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3" name="Text Box 18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4" name="Text Box 19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5" name="Text Box 20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686" name="Text Box 2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38150" y="321030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87" name="Text Box 3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88" name="Text Box 2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89" name="Text Box 2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0" name="Text Box 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1" name="Text Box 1080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692" name="Text Box 1075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5" name="Text Box 3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7" name="Text Box 3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8" name="Text Box 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699" name="Text Box 3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1" name="Text Box 1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2" name="Text Box 1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3" name="Text Box 13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4" name="Text Box 1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5" name="Text Box 1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706" name="Text Box 18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7" name="Text Box 13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08" name="Text Box 1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57200" y="321030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435769" y="321030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12" name="Text Box 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13" name="Text Box 1080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714" name="Text Box 1075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16" name="Text Box 3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17" name="Text Box 3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18" name="Text Box 3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19" name="Text Box 3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447675" y="321030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4" name="Text Box 5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5" name="Text Box 6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6" name="Text Box 17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7" name="Text Box 18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8" name="Text Box 19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29" name="Text Box 20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30" name="Text Box 2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38150" y="317601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1" name="Text Box 3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5" name="Text Box 1080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736" name="Text Box 1075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8" name="Text Box 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39" name="Text Box 3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40" name="Text Box 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41" name="Text Box 3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42" name="Text Box 3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43" name="Text Box 3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44" name="Text Box 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45" name="Text Box 13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46" name="Text Box 1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47" name="Text Box 13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48" name="Text Box 1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49" name="Text Box 1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750" name="Text Box 18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51" name="Text Box 13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52" name="Text Box 1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457200" y="317601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753" name="Text Box 3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435769" y="317601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54" name="Text Box 2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56" name="Text Box 3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57" name="Text Box 1080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758" name="Text Box 1075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59" name="Text Box 2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2" name="Text Box 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3" name="Text Box 3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4" name="Text Box 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5" name="Text Box 3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766" name="Text Box 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447675" y="317601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68" name="Text Box 5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69" name="Text Box 6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70" name="Text Box 17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71" name="Text Box 18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72" name="Text Box 19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73" name="Text Box 20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774" name="Text Box 2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38150" y="319125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75" name="Text Box 3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76" name="Text Box 2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77" name="Text Box 2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78" name="Text Box 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79" name="Text Box 1080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780" name="Text Box 1075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1" name="Text Box 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2" name="Text Box 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3" name="Text Box 3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4" name="Text Box 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5" name="Text Box 3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6" name="Text Box 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7" name="Text Box 3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89" name="Text Box 13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0" name="Text Box 1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1" name="Text Box 13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2" name="Text Box 1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3" name="Text Box 1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794" name="Text Box 18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5" name="Text Box 13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796" name="Text Box 13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57200" y="319125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797" name="Text Box 3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435769" y="319125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98" name="Text Box 2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0" name="Text Box 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01" name="Text Box 1080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802" name="Text Box 1075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03" name="Text Box 2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4" name="Text Box 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5" name="Text Box 3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6" name="Text Box 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7" name="Text Box 3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8" name="Text Box 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447675" y="319125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2" name="Text Box 5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3" name="Text Box 6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4" name="Text Box 17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5" name="Text Box 18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6" name="Text Box 19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7" name="Text Box 20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18" name="Text Box 2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438150" y="322554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19" name="Text Box 3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0" name="Text Box 2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3" name="Text Box 1080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824" name="Text Box 1075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6" name="Text Box 3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7" name="Text Box 3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8" name="Text Box 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29" name="Text Box 3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30" name="Text Box 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32" name="Text Box 3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3" name="Text Box 13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4" name="Text Box 1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5" name="Text Box 13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6" name="Text Box 1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7" name="Text Box 1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838" name="Text Box 18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39" name="Text Box 13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40" name="Text Box 1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457200" y="322554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435769" y="322554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42" name="Text Box 2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44" name="Text Box 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45" name="Text Box 1080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846" name="Text Box 1075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50" name="Text Box 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51" name="Text Box 3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52" name="Text Box 3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47675" y="322554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488497</xdr:colOff>
      <xdr:row>901</xdr:row>
      <xdr:rowOff>0</xdr:rowOff>
    </xdr:from>
    <xdr:ext cx="1361" cy="157819"/>
    <xdr:sp macro="" textlink="">
      <xdr:nvSpPr>
        <xdr:cNvPr id="2854" name="Text Box 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488497" y="322350493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56" name="Text Box 5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57" name="Text Box 6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58" name="Text Box 17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59" name="Text Box 18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60" name="Text Box 19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61" name="Text Box 20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62" name="Text Box 2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3" name="Text Box 3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7" name="Text Box 1080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868" name="Text Box 1075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0" name="Text Box 3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1" name="Text Box 3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2" name="Text Box 3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876" name="Text Box 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77" name="Text Box 13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78" name="Text Box 13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79" name="Text Box 13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80" name="Text Box 1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81" name="Text Box 1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882" name="Text Box 18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83" name="Text Box 13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884" name="Text Box 1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885" name="Text Box 3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435769" y="3258407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87" name="Text Box 2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89" name="Text Box 1080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890" name="Text Box 1075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891" name="Text Box 2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2" name="Text Box 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3" name="Text Box 3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4" name="Text Box 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5" name="Text Box 3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6" name="Text Box 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7" name="Text Box 3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898" name="Text Box 3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0" name="Text Box 5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1" name="Text Box 6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2" name="Text Box 17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3" name="Text Box 18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4" name="Text Box 19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5" name="Text Box 20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06" name="Text Box 2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438150" y="325840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07" name="Text Box 3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0" name="Text Box 3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1" name="Text Box 1080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912" name="Text Box 1075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5" name="Text Box 3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6" name="Text Box 3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7" name="Text Box 3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8" name="Text Box 3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19" name="Text Box 3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20" name="Text Box 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1" name="Text Box 13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2" name="Text Box 13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3" name="Text Box 13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4" name="Text Box 13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5" name="Text Box 14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926" name="Text Box 18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7" name="Text Box 13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28" name="Text Box 1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57200" y="325840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435769" y="3258407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30" name="Text Box 2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31" name="Text Box 2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32" name="Text Box 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33" name="Text Box 1080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934" name="Text Box 1075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36" name="Text Box 3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37" name="Text Box 3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38" name="Text Box 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40" name="Text Box 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42" name="Text Box 3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447675" y="325840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3" name="Text Box 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4" name="Text Box 5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6" name="Text Box 17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7" name="Text Box 18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8" name="Text Box 19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49" name="Text Box 20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50" name="Text Box 2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438150" y="327783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2" name="Text Box 2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4" name="Text Box 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5" name="Text Box 1080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2956" name="Text Box 107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8" name="Text Box 3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59" name="Text Box 3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60" name="Text Box 3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61" name="Text Box 3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62" name="Text Box 3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63" name="Text Box 3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65" name="Text Box 13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66" name="Text Box 1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67" name="Text Box 13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68" name="Text Box 1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69" name="Text Box 1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2970" name="Text Box 18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71" name="Text Box 13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2972" name="Text Box 1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457200" y="327783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2973" name="Text Box 3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435769" y="3277838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74" name="Text Box 2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75" name="Text Box 2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76" name="Text Box 3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77" name="Text Box 1080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2978" name="Text Box 1075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2" name="Text Box 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3" name="Text Box 3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4" name="Text Box 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5" name="Text Box 3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2986" name="Text Box 3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47675" y="327783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87" name="Text Box 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88" name="Text Box 5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90" name="Text Box 17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91" name="Text Box 18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92" name="Text Box 19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93" name="Text Box 20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2994" name="Text Box 2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438150" y="3300698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97" name="Text Box 2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98" name="Text Box 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2999" name="Text Box 1080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000" name="Text Box 1075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2" name="Text Box 3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3" name="Text Box 3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5" name="Text Box 3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6" name="Text Box 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08" name="Text Box 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09" name="Text Box 13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0" name="Text Box 13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1" name="Text Box 13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2" name="Text Box 13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3" name="Text Box 14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014" name="Text Box 18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5" name="Text Box 13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16" name="Text Box 1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457200" y="3300698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017" name="Text Box 3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435769" y="3300698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19" name="Text Box 2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21" name="Text Box 1080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022" name="Text Box 1075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4" name="Text Box 3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5" name="Text Box 3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6" name="Text Box 3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30" name="Text Box 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447675" y="3300698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1" name="Text Box 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2" name="Text Box 5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4" name="Text Box 17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5" name="Text Box 18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6" name="Text Box 19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7" name="Text Box 20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38" name="Text Box 2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438150" y="322173600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39" name="Text Box 3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0" name="Text Box 2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2" name="Text Box 3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3" name="Text Box 1080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044" name="Text Box 1075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5" name="Text Box 2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8" name="Text Box 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49" name="Text Box 3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50" name="Text Box 3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51" name="Text Box 3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3" name="Text Box 1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4" name="Text Box 1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5" name="Text Box 13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6" name="Text Box 13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7" name="Text Box 14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058" name="Text Box 18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59" name="Text Box 13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60" name="Text Box 1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457200" y="322173600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061" name="Text Box 3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435769" y="322173600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63" name="Text Box 2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64" name="Text Box 3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65" name="Text Box 1080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066" name="Text Box 1075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68" name="Text Box 3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69" name="Text Box 3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70" name="Text Box 3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71" name="Text Box 3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72" name="Text Box 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074" name="Text Box 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447675" y="322173600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76" name="Text Box 5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78" name="Text Box 17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79" name="Text Box 18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80" name="Text Box 19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81" name="Text Box 20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082" name="Text Box 2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438150" y="324316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3" name="Text Box 3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5" name="Text Box 2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6" name="Text Box 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7" name="Text Box 1080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088" name="Text Box 1075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89" name="Text Box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0" name="Text Box 3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4" name="Text Box 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5" name="Text Box 3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096" name="Text Box 3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97" name="Text Box 13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98" name="Text Box 1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099" name="Text Box 13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00" name="Text Box 13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01" name="Text Box 14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102" name="Text Box 18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03" name="Text Box 13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04" name="Text Box 1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457200" y="324316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105" name="Text Box 3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435769" y="3243167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06" name="Text Box 2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08" name="Text Box 3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09" name="Text Box 1080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110" name="Text Box 1075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2" name="Text Box 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3" name="Text Box 3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4" name="Text Box 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5" name="Text Box 3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6" name="Text Box 3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447675" y="324316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19" name="Text Box 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0" name="Text Box 5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2" name="Text Box 17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3" name="Text Box 18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4" name="Text Box 19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5" name="Text Box 20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26" name="Text Box 2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438150" y="3254597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27" name="Text Box 3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28" name="Text Box 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0" name="Text Box 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1" name="Text Box 1080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132" name="Text Box 1075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4" name="Text Box 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5" name="Text Box 3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6" name="Text Box 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7" name="Text Box 3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8" name="Text Box 3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39" name="Text Box 3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40" name="Text Box 3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1" name="Text Box 13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2" name="Text Box 13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3" name="Text Box 1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4" name="Text Box 1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5" name="Text Box 1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146" name="Text Box 18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7" name="Text Box 13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48" name="Text Box 1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457200" y="3254597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149" name="Text Box 3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435769" y="3254597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50" name="Text Box 2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51" name="Text Box 2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52" name="Text Box 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53" name="Text Box 1080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154" name="Text Box 107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56" name="Text Box 3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57" name="Text Box 3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58" name="Text Box 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59" name="Text Box 3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60" name="Text Box 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61" name="Text Box 3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62" name="Text Box 3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447675" y="3254597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3" name="Text Box 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4" name="Text Box 5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6" name="Text Box 17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7" name="Text Box 18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8" name="Text Box 19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69" name="Text Box 2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438150</xdr:colOff>
      <xdr:row>901</xdr:row>
      <xdr:rowOff>0</xdr:rowOff>
    </xdr:from>
    <xdr:ext cx="72798" cy="161925"/>
    <xdr:sp macro="" textlink="">
      <xdr:nvSpPr>
        <xdr:cNvPr id="3170" name="Text Box 2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438150" y="331250925"/>
          <a:ext cx="72798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1" name="Text Box 3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2" name="Text Box 2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3" name="Text Box 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4" name="Text Box 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5" name="Text Box 108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58177"/>
    <xdr:sp macro="" textlink="">
      <xdr:nvSpPr>
        <xdr:cNvPr id="3176" name="Text Box 1075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5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8" name="Text Box 3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79" name="Text Box 3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80" name="Text Box 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81" name="Text Box 3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82" name="Text Box 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72798" cy="162596"/>
    <xdr:sp macro="" textlink="">
      <xdr:nvSpPr>
        <xdr:cNvPr id="3184" name="Text Box 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72798" cy="16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85" name="Text Box 13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86" name="Text Box 1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87" name="Text Box 13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88" name="Text Box 13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89" name="Text Box 1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59204"/>
    <xdr:sp macro="" textlink="">
      <xdr:nvSpPr>
        <xdr:cNvPr id="3190" name="Text Box 18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59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91" name="Text Box 13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457200</xdr:colOff>
      <xdr:row>901</xdr:row>
      <xdr:rowOff>0</xdr:rowOff>
    </xdr:from>
    <xdr:ext cx="169690" cy="161925"/>
    <xdr:sp macro="" textlink="">
      <xdr:nvSpPr>
        <xdr:cNvPr id="3192" name="Text Box 13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457200" y="331250925"/>
          <a:ext cx="16969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435769</xdr:colOff>
      <xdr:row>901</xdr:row>
      <xdr:rowOff>0</xdr:rowOff>
    </xdr:from>
    <xdr:ext cx="4763" cy="159520"/>
    <xdr:sp macro="" textlink="">
      <xdr:nvSpPr>
        <xdr:cNvPr id="3193" name="Text Box 3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435769" y="331250925"/>
          <a:ext cx="4763" cy="159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95" name="Text Box 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196" name="Text Box 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97" name="Text Box 108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1903"/>
    <xdr:sp macro="" textlink="">
      <xdr:nvSpPr>
        <xdr:cNvPr id="3198" name="Text Box 1075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619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64284"/>
    <xdr:sp macro="" textlink="">
      <xdr:nvSpPr>
        <xdr:cNvPr id="3199" name="Text Box 2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64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0" name="Text Box 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1" name="Text Box 3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2" name="Text Box 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3" name="Text Box 3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4" name="Text Box 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5" name="Text Box 3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447675</xdr:colOff>
      <xdr:row>901</xdr:row>
      <xdr:rowOff>0</xdr:rowOff>
    </xdr:from>
    <xdr:ext cx="1361" cy="157819"/>
    <xdr:sp macro="" textlink="">
      <xdr:nvSpPr>
        <xdr:cNvPr id="3206" name="Text Box 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447675" y="331250925"/>
          <a:ext cx="1361" cy="157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902</xdr:row>
      <xdr:rowOff>264001</xdr:rowOff>
    </xdr:to>
    <xdr:sp macro="" textlink="">
      <xdr:nvSpPr>
        <xdr:cNvPr id="3210" name="Text Box 19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1666875" y="345043125"/>
          <a:ext cx="76200" cy="64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902</xdr:row>
      <xdr:rowOff>264002</xdr:rowOff>
    </xdr:to>
    <xdr:sp macro="" textlink="">
      <xdr:nvSpPr>
        <xdr:cNvPr id="3211" name="Text Box 14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1666875" y="345043125"/>
          <a:ext cx="76200" cy="64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901</xdr:row>
      <xdr:rowOff>0</xdr:rowOff>
    </xdr:from>
    <xdr:to>
      <xdr:col>1</xdr:col>
      <xdr:colOff>533400</xdr:colOff>
      <xdr:row>902</xdr:row>
      <xdr:rowOff>264002</xdr:rowOff>
    </xdr:to>
    <xdr:sp macro="" textlink="">
      <xdr:nvSpPr>
        <xdr:cNvPr id="3212" name="Text Box 19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1666875" y="345043125"/>
          <a:ext cx="76200" cy="64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GU932"/>
  <sheetViews>
    <sheetView tabSelected="1" zoomScale="85" zoomScaleNormal="85" zoomScaleSheetLayoutView="100" workbookViewId="0">
      <selection activeCell="C14" sqref="C14:D14"/>
    </sheetView>
  </sheetViews>
  <sheetFormatPr defaultColWidth="9.15234375" defaultRowHeight="14.6" outlineLevelRow="1" x14ac:dyDescent="0.35"/>
  <cols>
    <col min="1" max="1" width="9" style="35" customWidth="1"/>
    <col min="2" max="2" width="92.3046875" style="35" customWidth="1"/>
    <col min="3" max="3" width="13.69140625" style="35" customWidth="1"/>
    <col min="4" max="4" width="20.84375" style="53" customWidth="1"/>
    <col min="5" max="5" width="36.69140625" style="35" customWidth="1"/>
    <col min="6" max="6" width="88.3828125" style="54" customWidth="1"/>
    <col min="7" max="7" width="11.69140625" style="32" customWidth="1"/>
    <col min="8" max="8" width="13" style="33" customWidth="1"/>
    <col min="9" max="9" width="11.69140625" style="32" customWidth="1"/>
    <col min="10" max="10" width="11.84375" style="32" customWidth="1"/>
    <col min="11" max="13" width="11.84375" style="34" customWidth="1"/>
    <col min="14" max="14" width="11.84375" style="33" customWidth="1"/>
    <col min="15" max="15" width="11.84375" style="34" customWidth="1"/>
    <col min="16" max="28" width="9.15234375" style="34"/>
    <col min="29" max="16384" width="9.15234375" style="35"/>
  </cols>
  <sheetData>
    <row r="1" spans="1:28" ht="16.3" x14ac:dyDescent="0.35">
      <c r="E1" s="131" t="s">
        <v>7</v>
      </c>
      <c r="F1" s="49"/>
    </row>
    <row r="2" spans="1:28" s="1" customFormat="1" ht="15.45" x14ac:dyDescent="0.4">
      <c r="A2" s="120" t="s">
        <v>0</v>
      </c>
      <c r="B2" s="120"/>
      <c r="C2" s="121" t="s">
        <v>1</v>
      </c>
      <c r="D2" s="121"/>
      <c r="E2" s="121"/>
    </row>
    <row r="3" spans="1:28" s="1" customFormat="1" ht="23.25" customHeight="1" x14ac:dyDescent="0.4">
      <c r="A3" s="122" t="s">
        <v>20</v>
      </c>
      <c r="B3" s="122"/>
      <c r="C3" s="121" t="s">
        <v>3</v>
      </c>
      <c r="D3" s="121"/>
      <c r="E3" s="121"/>
    </row>
    <row r="4" spans="1:28" s="1" customFormat="1" ht="15.9" x14ac:dyDescent="0.4">
      <c r="A4" s="7" t="s">
        <v>4</v>
      </c>
      <c r="B4" s="27"/>
      <c r="C4" s="123" t="s">
        <v>4</v>
      </c>
      <c r="D4" s="123"/>
      <c r="E4" s="123"/>
    </row>
    <row r="5" spans="1:28" s="1" customFormat="1" ht="15.9" x14ac:dyDescent="0.45">
      <c r="A5" s="119"/>
      <c r="B5" s="119"/>
      <c r="C5" s="119"/>
      <c r="D5" s="22"/>
    </row>
    <row r="6" spans="1:28" s="1" customFormat="1" ht="15.9" x14ac:dyDescent="0.45">
      <c r="A6" s="9" t="s">
        <v>6</v>
      </c>
      <c r="B6" s="28"/>
      <c r="C6" s="123" t="s">
        <v>60</v>
      </c>
      <c r="D6" s="123"/>
      <c r="E6" s="123"/>
    </row>
    <row r="7" spans="1:28" s="1" customFormat="1" ht="15.9" x14ac:dyDescent="0.45">
      <c r="A7" s="9" t="s">
        <v>412</v>
      </c>
      <c r="B7" s="28"/>
      <c r="C7" s="123" t="s">
        <v>412</v>
      </c>
      <c r="D7" s="123"/>
      <c r="E7" s="123"/>
    </row>
    <row r="8" spans="1:28" s="1" customFormat="1" ht="15.9" x14ac:dyDescent="0.45">
      <c r="A8" s="9"/>
      <c r="B8" s="28"/>
      <c r="C8" s="98"/>
      <c r="D8" s="98"/>
    </row>
    <row r="9" spans="1:28" s="1" customFormat="1" ht="15.45" x14ac:dyDescent="0.4">
      <c r="A9" s="120" t="s">
        <v>0</v>
      </c>
      <c r="B9" s="120"/>
      <c r="C9" s="121"/>
      <c r="D9" s="121"/>
    </row>
    <row r="10" spans="1:28" s="1" customFormat="1" ht="23.25" customHeight="1" x14ac:dyDescent="0.4">
      <c r="A10" s="122" t="s">
        <v>2</v>
      </c>
      <c r="B10" s="122"/>
      <c r="C10" s="121"/>
      <c r="D10" s="121"/>
    </row>
    <row r="11" spans="1:28" s="1" customFormat="1" ht="15.9" x14ac:dyDescent="0.4">
      <c r="A11" s="7" t="s">
        <v>4</v>
      </c>
      <c r="B11" s="27"/>
      <c r="C11" s="123"/>
      <c r="D11" s="123"/>
    </row>
    <row r="12" spans="1:28" s="1" customFormat="1" ht="15.75" customHeight="1" x14ac:dyDescent="0.45">
      <c r="A12" s="119"/>
      <c r="B12" s="119"/>
      <c r="C12" s="119"/>
      <c r="D12" s="55"/>
    </row>
    <row r="13" spans="1:28" s="1" customFormat="1" ht="15.9" x14ac:dyDescent="0.45">
      <c r="A13" s="9" t="s">
        <v>5</v>
      </c>
      <c r="B13" s="28"/>
      <c r="C13" s="123"/>
      <c r="D13" s="123"/>
      <c r="E13" s="29"/>
    </row>
    <row r="14" spans="1:28" s="1" customFormat="1" ht="15.9" x14ac:dyDescent="0.45">
      <c r="A14" s="9" t="s">
        <v>412</v>
      </c>
      <c r="B14" s="28"/>
      <c r="C14" s="123"/>
      <c r="D14" s="123"/>
    </row>
    <row r="15" spans="1:28" s="4" customFormat="1" ht="21" customHeight="1" x14ac:dyDescent="0.4">
      <c r="A15" s="30"/>
      <c r="B15" s="56"/>
      <c r="C15" s="57"/>
      <c r="D15" s="58"/>
      <c r="F15" s="5"/>
      <c r="G15" s="2"/>
      <c r="H15" s="3"/>
      <c r="I15" s="2"/>
      <c r="J15" s="2"/>
      <c r="K15" s="2"/>
      <c r="L15" s="2"/>
      <c r="M15" s="2"/>
      <c r="N15" s="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4" customFormat="1" ht="21" customHeight="1" x14ac:dyDescent="0.4">
      <c r="A16" s="124" t="s">
        <v>8</v>
      </c>
      <c r="B16" s="124"/>
      <c r="C16" s="124"/>
      <c r="D16" s="124"/>
      <c r="E16" s="124"/>
      <c r="F16" s="5"/>
      <c r="G16" s="2"/>
      <c r="H16" s="3"/>
      <c r="I16" s="2"/>
      <c r="J16" s="2"/>
      <c r="K16" s="2"/>
      <c r="L16" s="2"/>
      <c r="M16" s="2"/>
      <c r="N16" s="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10" customFormat="1" ht="39" customHeight="1" x14ac:dyDescent="0.4">
      <c r="A17" s="125" t="s">
        <v>57</v>
      </c>
      <c r="B17" s="125"/>
      <c r="C17" s="125"/>
      <c r="D17" s="125"/>
      <c r="E17" s="126"/>
      <c r="F17" s="6"/>
      <c r="G17" s="7"/>
      <c r="H17" s="8"/>
      <c r="I17" s="7"/>
      <c r="J17" s="7"/>
      <c r="K17" s="9"/>
      <c r="L17" s="9"/>
      <c r="M17" s="9"/>
      <c r="N17" s="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s="1" customFormat="1" ht="15.75" customHeight="1" x14ac:dyDescent="0.4">
      <c r="A18" s="127" t="s">
        <v>27</v>
      </c>
      <c r="B18" s="127"/>
      <c r="C18" s="127"/>
      <c r="D18" s="127"/>
      <c r="E18" s="99"/>
      <c r="F18" s="11"/>
      <c r="G18" s="12"/>
    </row>
    <row r="19" spans="1:28" s="1" customFormat="1" ht="15.75" customHeight="1" x14ac:dyDescent="0.4">
      <c r="A19" s="127" t="s">
        <v>59</v>
      </c>
      <c r="B19" s="127"/>
      <c r="C19" s="127"/>
      <c r="D19" s="127"/>
      <c r="E19" s="99"/>
      <c r="F19" s="11"/>
      <c r="G19" s="12"/>
    </row>
    <row r="20" spans="1:28" s="1" customFormat="1" ht="15" customHeight="1" x14ac:dyDescent="0.3">
      <c r="A20" s="128"/>
      <c r="B20" s="128"/>
      <c r="C20" s="128"/>
      <c r="D20" s="128"/>
      <c r="E20" s="99"/>
      <c r="F20" s="11"/>
      <c r="G20" s="12"/>
    </row>
    <row r="21" spans="1:28" s="1" customFormat="1" ht="15.75" customHeight="1" x14ac:dyDescent="0.4">
      <c r="A21" s="127" t="s">
        <v>9</v>
      </c>
      <c r="B21" s="127"/>
      <c r="C21" s="127"/>
      <c r="D21" s="127"/>
      <c r="E21" s="99"/>
      <c r="F21" s="11"/>
      <c r="G21" s="12"/>
    </row>
    <row r="22" spans="1:28" s="1" customFormat="1" ht="15.75" customHeight="1" x14ac:dyDescent="0.4">
      <c r="A22" s="127" t="s">
        <v>28</v>
      </c>
      <c r="B22" s="127"/>
      <c r="C22" s="127"/>
      <c r="D22" s="127"/>
      <c r="E22" s="99"/>
      <c r="F22" s="11"/>
      <c r="G22" s="12"/>
    </row>
    <row r="23" spans="1:28" s="1" customFormat="1" ht="15" customHeight="1" x14ac:dyDescent="0.4">
      <c r="A23" s="127" t="s">
        <v>36</v>
      </c>
      <c r="B23" s="127"/>
      <c r="C23" s="127"/>
      <c r="D23" s="127"/>
      <c r="E23" s="99"/>
      <c r="F23" s="11"/>
      <c r="G23" s="12"/>
    </row>
    <row r="24" spans="1:28" s="1" customFormat="1" ht="15" customHeight="1" x14ac:dyDescent="0.4">
      <c r="A24" s="100"/>
      <c r="B24" s="100"/>
      <c r="C24" s="100"/>
      <c r="D24" s="100"/>
      <c r="E24" s="99"/>
      <c r="F24" s="11"/>
      <c r="G24" s="12"/>
    </row>
    <row r="25" spans="1:28" s="1" customFormat="1" ht="15" customHeight="1" x14ac:dyDescent="0.4">
      <c r="A25" s="129" t="s">
        <v>10</v>
      </c>
      <c r="B25" s="129"/>
      <c r="C25" s="129"/>
      <c r="D25" s="129"/>
      <c r="E25" s="129"/>
      <c r="F25" s="11"/>
      <c r="G25" s="12"/>
    </row>
    <row r="26" spans="1:28" s="10" customFormat="1" ht="21" customHeight="1" thickBot="1" x14ac:dyDescent="0.45">
      <c r="A26" s="130"/>
      <c r="B26" s="130"/>
      <c r="C26" s="130"/>
      <c r="D26" s="130"/>
      <c r="E26" s="130"/>
      <c r="F26" s="6"/>
      <c r="G26" s="7"/>
      <c r="H26" s="8"/>
      <c r="I26" s="7"/>
      <c r="J26" s="7"/>
      <c r="K26" s="9"/>
      <c r="L26" s="9"/>
      <c r="M26" s="9"/>
      <c r="N26" s="8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s="10" customFormat="1" ht="51" customHeight="1" x14ac:dyDescent="0.4">
      <c r="A27" s="59" t="s">
        <v>11</v>
      </c>
      <c r="B27" s="60" t="s">
        <v>12</v>
      </c>
      <c r="C27" s="59" t="s">
        <v>13</v>
      </c>
      <c r="D27" s="59" t="s">
        <v>14</v>
      </c>
      <c r="E27" s="60" t="s">
        <v>15</v>
      </c>
      <c r="F27" s="13"/>
      <c r="G27" s="7"/>
      <c r="H27" s="8"/>
      <c r="I27" s="7"/>
      <c r="J27" s="7"/>
      <c r="K27" s="9"/>
      <c r="L27" s="9"/>
      <c r="M27" s="9"/>
      <c r="N27" s="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s="10" customFormat="1" ht="20.25" customHeight="1" x14ac:dyDescent="0.4">
      <c r="A28" s="61">
        <v>1</v>
      </c>
      <c r="B28" s="62">
        <v>2</v>
      </c>
      <c r="C28" s="61">
        <v>3</v>
      </c>
      <c r="D28" s="62">
        <v>4</v>
      </c>
      <c r="E28" s="61">
        <v>5</v>
      </c>
      <c r="F28" s="13"/>
      <c r="G28" s="7"/>
      <c r="H28" s="8"/>
      <c r="I28" s="7"/>
      <c r="J28" s="7"/>
      <c r="K28" s="9"/>
      <c r="L28" s="9"/>
      <c r="M28" s="9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s="10" customFormat="1" ht="30" customHeight="1" x14ac:dyDescent="0.4">
      <c r="A29" s="118" t="s">
        <v>39</v>
      </c>
      <c r="B29" s="118"/>
      <c r="C29" s="118"/>
      <c r="D29" s="118"/>
      <c r="E29" s="118"/>
      <c r="F29" s="13"/>
      <c r="G29" s="7"/>
      <c r="H29" s="8"/>
      <c r="I29" s="7"/>
      <c r="J29" s="7"/>
      <c r="K29" s="9"/>
      <c r="L29" s="9"/>
      <c r="M29" s="9"/>
      <c r="N29" s="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s="40" customFormat="1" ht="31" customHeight="1" x14ac:dyDescent="0.35">
      <c r="A30" s="63">
        <v>1</v>
      </c>
      <c r="B30" s="14" t="s">
        <v>410</v>
      </c>
      <c r="C30" s="15" t="s">
        <v>16</v>
      </c>
      <c r="D30" s="84">
        <f>E41+E43+E45+E46+E47+E49+E52+D61+E64+D66+D67+D78+E81+D83+E93+D101+E104+D106+D107+E121+E123+E126+D128+E133+E140+E142+D144+E145+E147+E154+E137+E164+E165+E168+D167+E169+E170+E172+E173+D172+D175+E176+E177+E178+E180+E181+D217+D219+D234+D235+E238+E241+E245+D247+D248+E254+D257+D258+E264+D268+D269+D270+D271+D272+D273+E281+D288+D289+E295+D298+D299+D300+D301+E306+D319+E323+E327+E329+E330+E332+E334+D336+E337+E338+E339+E340+D342+E343+D345+E346+E347+E348+D350+E352+E353+E354+D382+D384+E400+D408+D409+D410+E413+E423+E424+D427+D429+E437+E439+E451+D453+D461+D462+D475+E478+D480+D481+E487+E494+E497+E499+E502+E503+E506+D508+D511+E512+E513+E514+E515+E516+E517+D519+E520+E521+E523+E524+E525+D553+D555+D570+D571+D585+D586+E591+D592+D587+D598+D599+D600+D601+D602+D603+D604+E609+D614+D615+E620+D621+D616+D627+D628+D629+D630+D631+D632+D633++E638+D643+D644+E649+D650+D645+D656+D657+D658+D659+D660+D661+D662+E667+D672+D673+E678+D679++D684+D685+D686+D687+D688+D689+E694+D699+D700+E705+D706+D701+D711+D712+D713+D714+D715+D716+D717++E722+D729+D730+D731+E737+D744+D745+D746+D747+E753+D761+D762+E767+D768+D763+D773+D774+D775+D776+D777+D778+D779+E784+D787+E792+D797+E798+D800+E801+D803+E804+E805+D807+E808+E810+E811+E812+E813++E818+D841+E842+D844+E845+D847+E848+E850+D852+E853+E854+E855+E857+E858+E859+E860+E865+D888+E889+E891+E896</f>
        <v>140.53405305704013</v>
      </c>
      <c r="E30" s="69"/>
      <c r="F30" s="36"/>
      <c r="G30" s="37"/>
      <c r="H30" s="38"/>
      <c r="I30" s="37"/>
      <c r="J30" s="37"/>
      <c r="K30" s="39"/>
      <c r="L30" s="39"/>
      <c r="M30" s="39"/>
      <c r="N30" s="38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</row>
    <row r="31" spans="1:28" s="10" customFormat="1" ht="30" customHeight="1" x14ac:dyDescent="0.4">
      <c r="A31" s="118" t="s">
        <v>24</v>
      </c>
      <c r="B31" s="118"/>
      <c r="C31" s="118"/>
      <c r="D31" s="118"/>
      <c r="E31" s="118"/>
      <c r="F31" s="13"/>
      <c r="G31" s="7"/>
      <c r="H31" s="8"/>
      <c r="I31" s="7"/>
      <c r="J31" s="7"/>
      <c r="K31" s="9"/>
      <c r="L31" s="9"/>
      <c r="M31" s="9"/>
      <c r="N31" s="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s="40" customFormat="1" ht="31" customHeight="1" x14ac:dyDescent="0.35">
      <c r="A32" s="63">
        <f>A30+1</f>
        <v>2</v>
      </c>
      <c r="B32" s="14" t="s">
        <v>195</v>
      </c>
      <c r="C32" s="15" t="s">
        <v>17</v>
      </c>
      <c r="D32" s="15">
        <f>3090+390</f>
        <v>3480</v>
      </c>
      <c r="E32" s="69"/>
      <c r="F32" s="36"/>
      <c r="G32" s="37"/>
      <c r="H32" s="38"/>
      <c r="I32" s="37"/>
      <c r="J32" s="37"/>
      <c r="K32" s="39"/>
      <c r="L32" s="39"/>
      <c r="M32" s="39"/>
      <c r="N32" s="38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</row>
    <row r="33" spans="1:28" s="40" customFormat="1" ht="31" customHeight="1" x14ac:dyDescent="0.35">
      <c r="A33" s="63">
        <f t="shared" ref="A33:A34" si="0">A32+1</f>
        <v>3</v>
      </c>
      <c r="B33" s="14" t="s">
        <v>37</v>
      </c>
      <c r="C33" s="15" t="s">
        <v>16</v>
      </c>
      <c r="D33" s="15">
        <f>1.5*3480</f>
        <v>5220</v>
      </c>
      <c r="E33" s="69"/>
      <c r="F33" s="36"/>
      <c r="G33" s="37"/>
      <c r="H33" s="38"/>
      <c r="I33" s="37"/>
      <c r="J33" s="37"/>
      <c r="K33" s="39"/>
      <c r="L33" s="39"/>
      <c r="M33" s="39"/>
      <c r="N33" s="38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</row>
    <row r="34" spans="1:28" s="40" customFormat="1" ht="31" customHeight="1" x14ac:dyDescent="0.35">
      <c r="A34" s="63">
        <f t="shared" si="0"/>
        <v>4</v>
      </c>
      <c r="B34" s="14" t="s">
        <v>38</v>
      </c>
      <c r="C34" s="15" t="s">
        <v>17</v>
      </c>
      <c r="D34" s="15">
        <v>3480</v>
      </c>
      <c r="E34" s="69"/>
      <c r="F34" s="36"/>
      <c r="G34" s="37"/>
      <c r="H34" s="38"/>
      <c r="I34" s="37"/>
      <c r="J34" s="37"/>
      <c r="K34" s="39"/>
      <c r="L34" s="39"/>
      <c r="M34" s="39"/>
      <c r="N34" s="38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</row>
    <row r="35" spans="1:28" s="46" customFormat="1" ht="30" customHeight="1" x14ac:dyDescent="0.35">
      <c r="A35" s="118" t="s">
        <v>76</v>
      </c>
      <c r="B35" s="118"/>
      <c r="C35" s="118"/>
      <c r="D35" s="118"/>
      <c r="E35" s="118"/>
      <c r="F35" s="41"/>
      <c r="G35" s="42"/>
      <c r="H35" s="43"/>
      <c r="I35" s="44"/>
      <c r="J35" s="44"/>
      <c r="K35" s="45"/>
      <c r="L35" s="45"/>
      <c r="M35" s="45"/>
      <c r="N35" s="43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s="46" customFormat="1" ht="21" customHeight="1" x14ac:dyDescent="0.35">
      <c r="A36" s="115" t="s">
        <v>61</v>
      </c>
      <c r="B36" s="115"/>
      <c r="C36" s="115"/>
      <c r="D36" s="115"/>
      <c r="E36" s="115"/>
      <c r="F36" s="41"/>
      <c r="G36" s="42"/>
      <c r="H36" s="43"/>
      <c r="I36" s="44"/>
      <c r="J36" s="44"/>
      <c r="K36" s="45"/>
      <c r="L36" s="45"/>
      <c r="M36" s="45"/>
      <c r="N36" s="43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s="40" customFormat="1" ht="31" customHeight="1" x14ac:dyDescent="0.35">
      <c r="A37" s="63">
        <f>A34+1</f>
        <v>5</v>
      </c>
      <c r="B37" s="14" t="s">
        <v>49</v>
      </c>
      <c r="C37" s="15" t="s">
        <v>17</v>
      </c>
      <c r="D37" s="79">
        <f>122.5</f>
        <v>122.5</v>
      </c>
      <c r="E37" s="69"/>
      <c r="F37" s="36"/>
      <c r="G37" s="37"/>
      <c r="H37" s="38"/>
      <c r="I37" s="37"/>
      <c r="J37" s="37"/>
      <c r="K37" s="39"/>
      <c r="L37" s="39"/>
      <c r="M37" s="39"/>
      <c r="N37" s="38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</row>
    <row r="38" spans="1:28" s="46" customFormat="1" ht="36" customHeight="1" x14ac:dyDescent="0.35">
      <c r="A38" s="63">
        <f>A37+1</f>
        <v>6</v>
      </c>
      <c r="B38" s="14" t="s">
        <v>417</v>
      </c>
      <c r="C38" s="15" t="s">
        <v>17</v>
      </c>
      <c r="D38" s="77">
        <f>17.87</f>
        <v>17.87</v>
      </c>
      <c r="E38" s="14"/>
      <c r="F38" s="41"/>
      <c r="G38" s="42"/>
      <c r="H38" s="43"/>
      <c r="I38" s="44"/>
      <c r="J38" s="44"/>
      <c r="K38" s="45"/>
      <c r="L38" s="45"/>
      <c r="M38" s="45"/>
      <c r="N38" s="43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34.5" hidden="1" customHeight="1" outlineLevel="1" x14ac:dyDescent="0.35">
      <c r="A39" s="16"/>
      <c r="B39" s="17" t="s">
        <v>72</v>
      </c>
      <c r="C39" s="18" t="s">
        <v>17</v>
      </c>
      <c r="D39" s="76">
        <f>17.87*1.1</f>
        <v>19.657000000000004</v>
      </c>
      <c r="E39" s="17"/>
      <c r="F39" s="47"/>
    </row>
    <row r="40" spans="1:28" ht="33" customHeight="1" collapsed="1" x14ac:dyDescent="0.35">
      <c r="A40" s="63">
        <f>A38+1</f>
        <v>7</v>
      </c>
      <c r="B40" s="14" t="s">
        <v>62</v>
      </c>
      <c r="C40" s="15" t="s">
        <v>22</v>
      </c>
      <c r="D40" s="77" t="s">
        <v>64</v>
      </c>
      <c r="E40" s="15"/>
      <c r="F40" s="31"/>
    </row>
    <row r="41" spans="1:28" ht="34.5" hidden="1" customHeight="1" outlineLevel="1" x14ac:dyDescent="0.35">
      <c r="A41" s="16"/>
      <c r="B41" s="17" t="s">
        <v>63</v>
      </c>
      <c r="C41" s="18" t="s">
        <v>18</v>
      </c>
      <c r="D41" s="18">
        <v>2</v>
      </c>
      <c r="E41" s="18">
        <v>3.76</v>
      </c>
      <c r="F41" s="47"/>
    </row>
    <row r="42" spans="1:28" ht="33" customHeight="1" collapsed="1" x14ac:dyDescent="0.35">
      <c r="A42" s="63">
        <f>A40+1</f>
        <v>8</v>
      </c>
      <c r="B42" s="14" t="s">
        <v>65</v>
      </c>
      <c r="C42" s="15" t="s">
        <v>22</v>
      </c>
      <c r="D42" s="77" t="s">
        <v>67</v>
      </c>
      <c r="E42" s="15"/>
      <c r="F42" s="31"/>
    </row>
    <row r="43" spans="1:28" ht="34.5" hidden="1" customHeight="1" outlineLevel="1" x14ac:dyDescent="0.35">
      <c r="A43" s="16"/>
      <c r="B43" s="17" t="s">
        <v>66</v>
      </c>
      <c r="C43" s="18" t="s">
        <v>18</v>
      </c>
      <c r="D43" s="18">
        <v>4</v>
      </c>
      <c r="E43" s="18">
        <v>2.56</v>
      </c>
      <c r="F43" s="47"/>
    </row>
    <row r="44" spans="1:28" ht="31" customHeight="1" collapsed="1" x14ac:dyDescent="0.35">
      <c r="A44" s="63">
        <f>A42+1</f>
        <v>9</v>
      </c>
      <c r="B44" s="14" t="s">
        <v>68</v>
      </c>
      <c r="C44" s="15" t="s">
        <v>16</v>
      </c>
      <c r="D44" s="77">
        <v>0.193</v>
      </c>
      <c r="E44" s="15"/>
      <c r="F44" s="47"/>
    </row>
    <row r="45" spans="1:28" ht="31" hidden="1" customHeight="1" outlineLevel="1" x14ac:dyDescent="0.35">
      <c r="A45" s="16"/>
      <c r="B45" s="17" t="s">
        <v>69</v>
      </c>
      <c r="C45" s="81" t="s">
        <v>16</v>
      </c>
      <c r="D45" s="67">
        <f>2*78.25/1000</f>
        <v>0.1565</v>
      </c>
      <c r="E45" s="81">
        <v>0.157</v>
      </c>
      <c r="F45" s="47"/>
    </row>
    <row r="46" spans="1:28" ht="31" hidden="1" customHeight="1" outlineLevel="1" x14ac:dyDescent="0.35">
      <c r="A46" s="16"/>
      <c r="B46" s="17" t="s">
        <v>70</v>
      </c>
      <c r="C46" s="81" t="s">
        <v>16</v>
      </c>
      <c r="D46" s="67">
        <f>2*14.35/1000</f>
        <v>2.87E-2</v>
      </c>
      <c r="E46" s="81">
        <v>2.9000000000000001E-2</v>
      </c>
      <c r="F46" s="47"/>
    </row>
    <row r="47" spans="1:28" ht="31" hidden="1" customHeight="1" outlineLevel="1" x14ac:dyDescent="0.35">
      <c r="A47" s="16"/>
      <c r="B47" s="17" t="s">
        <v>71</v>
      </c>
      <c r="C47" s="81" t="s">
        <v>16</v>
      </c>
      <c r="D47" s="67">
        <f>4*1.93/1000</f>
        <v>7.7199999999999994E-3</v>
      </c>
      <c r="E47" s="81">
        <v>8.0000000000000002E-3</v>
      </c>
      <c r="F47" s="47"/>
    </row>
    <row r="48" spans="1:28" ht="31" customHeight="1" collapsed="1" x14ac:dyDescent="0.35">
      <c r="A48" s="63">
        <f>A44+1</f>
        <v>10</v>
      </c>
      <c r="B48" s="14" t="s">
        <v>40</v>
      </c>
      <c r="C48" s="15" t="s">
        <v>19</v>
      </c>
      <c r="D48" s="79">
        <f>((3*1.8*2)+(0.14*3*2)+(0.14*1.8*2))*2</f>
        <v>24.288</v>
      </c>
      <c r="E48" s="15"/>
      <c r="F48" s="47"/>
    </row>
    <row r="49" spans="1:28" ht="31" hidden="1" customHeight="1" outlineLevel="1" x14ac:dyDescent="0.35">
      <c r="A49" s="16"/>
      <c r="B49" s="17" t="s">
        <v>26</v>
      </c>
      <c r="C49" s="81" t="s">
        <v>25</v>
      </c>
      <c r="D49" s="82">
        <f>24.3*2*2</f>
        <v>97.2</v>
      </c>
      <c r="E49" s="81">
        <v>9.7000000000000003E-2</v>
      </c>
      <c r="F49" s="47"/>
    </row>
    <row r="50" spans="1:28" ht="30.9" collapsed="1" x14ac:dyDescent="0.35">
      <c r="A50" s="63">
        <f>A48+1</f>
        <v>11</v>
      </c>
      <c r="B50" s="14" t="s">
        <v>73</v>
      </c>
      <c r="C50" s="15" t="s">
        <v>17</v>
      </c>
      <c r="D50" s="101">
        <v>110</v>
      </c>
      <c r="E50" s="15"/>
      <c r="F50" s="47"/>
    </row>
    <row r="51" spans="1:28" ht="30" customHeight="1" x14ac:dyDescent="0.35">
      <c r="A51" s="63">
        <f>A50+1</f>
        <v>12</v>
      </c>
      <c r="B51" s="14" t="s">
        <v>74</v>
      </c>
      <c r="C51" s="15" t="s">
        <v>23</v>
      </c>
      <c r="D51" s="101">
        <v>20</v>
      </c>
      <c r="E51" s="15"/>
      <c r="F51" s="47"/>
    </row>
    <row r="52" spans="1:28" ht="31" hidden="1" customHeight="1" outlineLevel="1" x14ac:dyDescent="0.35">
      <c r="A52" s="16"/>
      <c r="B52" s="17" t="s">
        <v>55</v>
      </c>
      <c r="C52" s="81" t="s">
        <v>18</v>
      </c>
      <c r="D52" s="83">
        <v>20</v>
      </c>
      <c r="E52" s="83">
        <v>2</v>
      </c>
      <c r="F52" s="47"/>
    </row>
    <row r="53" spans="1:28" ht="31" hidden="1" customHeight="1" outlineLevel="1" x14ac:dyDescent="0.35">
      <c r="A53" s="73"/>
      <c r="B53" s="17" t="s">
        <v>78</v>
      </c>
      <c r="C53" s="81" t="s">
        <v>17</v>
      </c>
      <c r="D53" s="102">
        <v>1.26</v>
      </c>
      <c r="E53" s="81"/>
      <c r="F53" s="47"/>
    </row>
    <row r="54" spans="1:28" ht="30" customHeight="1" collapsed="1" x14ac:dyDescent="0.35">
      <c r="A54" s="63">
        <f>A51+1</f>
        <v>13</v>
      </c>
      <c r="B54" s="14" t="s">
        <v>416</v>
      </c>
      <c r="C54" s="15" t="s">
        <v>17</v>
      </c>
      <c r="D54" s="80">
        <v>9.66</v>
      </c>
      <c r="E54" s="15"/>
      <c r="F54" s="47"/>
    </row>
    <row r="55" spans="1:28" ht="31" hidden="1" customHeight="1" outlineLevel="1" x14ac:dyDescent="0.35">
      <c r="A55" s="16"/>
      <c r="B55" s="17" t="s">
        <v>77</v>
      </c>
      <c r="C55" s="81" t="s">
        <v>17</v>
      </c>
      <c r="D55" s="82">
        <f>9.66*1.26*1.02</f>
        <v>12.415032</v>
      </c>
      <c r="E55" s="67"/>
      <c r="F55" s="47"/>
    </row>
    <row r="56" spans="1:28" s="46" customFormat="1" ht="21" customHeight="1" collapsed="1" x14ac:dyDescent="0.35">
      <c r="A56" s="115" t="s">
        <v>75</v>
      </c>
      <c r="B56" s="115"/>
      <c r="C56" s="115"/>
      <c r="D56" s="115"/>
      <c r="E56" s="115"/>
      <c r="F56" s="41"/>
      <c r="G56" s="42"/>
      <c r="H56" s="43"/>
      <c r="I56" s="44"/>
      <c r="J56" s="44"/>
      <c r="K56" s="45"/>
      <c r="L56" s="45"/>
      <c r="M56" s="45"/>
      <c r="N56" s="43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spans="1:28" s="46" customFormat="1" ht="21" customHeight="1" x14ac:dyDescent="0.35">
      <c r="A57" s="116" t="s">
        <v>79</v>
      </c>
      <c r="B57" s="116"/>
      <c r="C57" s="116"/>
      <c r="D57" s="116"/>
      <c r="E57" s="116"/>
      <c r="F57" s="41"/>
      <c r="G57" s="42"/>
      <c r="H57" s="43"/>
      <c r="I57" s="44"/>
      <c r="J57" s="44"/>
      <c r="K57" s="45"/>
      <c r="L57" s="45"/>
      <c r="M57" s="45"/>
      <c r="N57" s="43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spans="1:28" s="46" customFormat="1" ht="36" customHeight="1" x14ac:dyDescent="0.35">
      <c r="A58" s="63">
        <f>A54+1</f>
        <v>14</v>
      </c>
      <c r="B58" s="14" t="s">
        <v>80</v>
      </c>
      <c r="C58" s="15" t="s">
        <v>17</v>
      </c>
      <c r="D58" s="77">
        <f>0.07*2</f>
        <v>0.14000000000000001</v>
      </c>
      <c r="E58" s="14"/>
      <c r="F58" s="41"/>
      <c r="G58" s="42"/>
      <c r="H58" s="43"/>
      <c r="I58" s="44"/>
      <c r="J58" s="44"/>
      <c r="K58" s="45"/>
      <c r="L58" s="45"/>
      <c r="M58" s="45"/>
      <c r="N58" s="43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34.5" hidden="1" customHeight="1" outlineLevel="1" x14ac:dyDescent="0.35">
      <c r="A59" s="16"/>
      <c r="B59" s="17" t="s">
        <v>78</v>
      </c>
      <c r="C59" s="18" t="s">
        <v>17</v>
      </c>
      <c r="D59" s="18">
        <v>0.14000000000000001</v>
      </c>
      <c r="E59" s="17"/>
      <c r="F59" s="47"/>
    </row>
    <row r="60" spans="1:28" ht="33" customHeight="1" collapsed="1" x14ac:dyDescent="0.35">
      <c r="A60" s="63">
        <f>A58+1</f>
        <v>15</v>
      </c>
      <c r="B60" s="14" t="s">
        <v>81</v>
      </c>
      <c r="C60" s="15" t="s">
        <v>17</v>
      </c>
      <c r="D60" s="77">
        <f>2*0.37</f>
        <v>0.74</v>
      </c>
      <c r="E60" s="15"/>
      <c r="F60" s="31"/>
    </row>
    <row r="61" spans="1:28" ht="34.5" hidden="1" customHeight="1" outlineLevel="1" x14ac:dyDescent="0.35">
      <c r="A61" s="16"/>
      <c r="B61" s="17" t="s">
        <v>82</v>
      </c>
      <c r="C61" s="18" t="s">
        <v>16</v>
      </c>
      <c r="D61" s="65">
        <f>3.91*2/1000</f>
        <v>7.8200000000000006E-3</v>
      </c>
      <c r="E61" s="18"/>
      <c r="F61" s="47"/>
    </row>
    <row r="62" spans="1:28" s="24" customFormat="1" ht="30" hidden="1" customHeight="1" outlineLevel="1" x14ac:dyDescent="0.4">
      <c r="A62" s="26"/>
      <c r="B62" s="17" t="s">
        <v>83</v>
      </c>
      <c r="C62" s="81" t="s">
        <v>17</v>
      </c>
      <c r="D62" s="18">
        <v>0.74</v>
      </c>
      <c r="E62" s="67"/>
      <c r="F62" s="25"/>
    </row>
    <row r="63" spans="1:28" s="24" customFormat="1" ht="30" customHeight="1" collapsed="1" x14ac:dyDescent="0.4">
      <c r="A63" s="63">
        <f>A60+1</f>
        <v>16</v>
      </c>
      <c r="B63" s="19" t="s">
        <v>84</v>
      </c>
      <c r="C63" s="20" t="s">
        <v>21</v>
      </c>
      <c r="D63" s="77" t="s">
        <v>418</v>
      </c>
      <c r="E63" s="77"/>
      <c r="F63" s="25"/>
    </row>
    <row r="64" spans="1:28" s="24" customFormat="1" ht="30" hidden="1" customHeight="1" outlineLevel="1" x14ac:dyDescent="0.4">
      <c r="A64" s="26"/>
      <c r="B64" s="17" t="s">
        <v>85</v>
      </c>
      <c r="C64" s="81" t="s">
        <v>18</v>
      </c>
      <c r="D64" s="83">
        <v>2</v>
      </c>
      <c r="E64" s="67"/>
      <c r="F64" s="25"/>
    </row>
    <row r="65" spans="1:28" s="46" customFormat="1" ht="36" customHeight="1" collapsed="1" x14ac:dyDescent="0.35">
      <c r="A65" s="63">
        <f>A63+1</f>
        <v>17</v>
      </c>
      <c r="B65" s="14" t="s">
        <v>238</v>
      </c>
      <c r="C65" s="15" t="s">
        <v>21</v>
      </c>
      <c r="D65" s="77" t="s">
        <v>419</v>
      </c>
      <c r="E65" s="14"/>
      <c r="F65" s="41"/>
      <c r="G65" s="42"/>
      <c r="H65" s="43"/>
      <c r="I65" s="44"/>
      <c r="J65" s="44"/>
      <c r="K65" s="45"/>
      <c r="L65" s="45"/>
      <c r="M65" s="45"/>
      <c r="N65" s="43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spans="1:28" s="24" customFormat="1" ht="30" hidden="1" customHeight="1" outlineLevel="1" x14ac:dyDescent="0.4">
      <c r="A66" s="26"/>
      <c r="B66" s="17" t="s">
        <v>69</v>
      </c>
      <c r="C66" s="81" t="s">
        <v>16</v>
      </c>
      <c r="D66" s="67">
        <f>21.24*2/1000*1.0012</f>
        <v>4.2530975999999998E-2</v>
      </c>
      <c r="E66" s="67"/>
      <c r="F66" s="25"/>
    </row>
    <row r="67" spans="1:28" s="24" customFormat="1" ht="30" hidden="1" customHeight="1" outlineLevel="1" x14ac:dyDescent="0.4">
      <c r="A67" s="26"/>
      <c r="B67" s="17" t="s">
        <v>58</v>
      </c>
      <c r="C67" s="81" t="s">
        <v>16</v>
      </c>
      <c r="D67" s="67">
        <f>(2.52+5.66)*2/1000</f>
        <v>1.636E-2</v>
      </c>
      <c r="E67" s="67"/>
      <c r="F67" s="25"/>
    </row>
    <row r="68" spans="1:28" s="24" customFormat="1" ht="30" customHeight="1" collapsed="1" x14ac:dyDescent="0.4">
      <c r="A68" s="63">
        <f>A65+1</f>
        <v>18</v>
      </c>
      <c r="B68" s="19" t="s">
        <v>242</v>
      </c>
      <c r="C68" s="15" t="s">
        <v>21</v>
      </c>
      <c r="D68" s="77" t="s">
        <v>419</v>
      </c>
      <c r="E68" s="77"/>
      <c r="F68" s="25"/>
    </row>
    <row r="69" spans="1:28" ht="36" customHeight="1" x14ac:dyDescent="0.35">
      <c r="A69" s="63">
        <f>A68+1</f>
        <v>19</v>
      </c>
      <c r="B69" s="19" t="s">
        <v>34</v>
      </c>
      <c r="C69" s="15" t="s">
        <v>19</v>
      </c>
      <c r="D69" s="64">
        <f>((0.089*0.56*3.14)+(0.3*0.3*2))*2</f>
        <v>0.67299520000000002</v>
      </c>
      <c r="E69" s="15"/>
      <c r="F69" s="47"/>
    </row>
    <row r="70" spans="1:28" ht="36" customHeight="1" x14ac:dyDescent="0.35">
      <c r="A70" s="63">
        <f>A69+1</f>
        <v>20</v>
      </c>
      <c r="B70" s="19" t="s">
        <v>51</v>
      </c>
      <c r="C70" s="15" t="s">
        <v>19</v>
      </c>
      <c r="D70" s="64">
        <f>((0.089*0.56*3.14)+(0.3*0.3*2))*2</f>
        <v>0.67299520000000002</v>
      </c>
      <c r="E70" s="15"/>
      <c r="F70" s="47"/>
    </row>
    <row r="71" spans="1:28" ht="36" customHeight="1" x14ac:dyDescent="0.35">
      <c r="A71" s="63">
        <f>A70+1</f>
        <v>21</v>
      </c>
      <c r="B71" s="19" t="s">
        <v>52</v>
      </c>
      <c r="C71" s="15" t="s">
        <v>19</v>
      </c>
      <c r="D71" s="64">
        <f>((0.089*0.56*3.14)+(0.3*0.3*2))*2</f>
        <v>0.67299520000000002</v>
      </c>
      <c r="E71" s="15"/>
      <c r="F71" s="47"/>
    </row>
    <row r="72" spans="1:28" s="24" customFormat="1" ht="30" customHeight="1" x14ac:dyDescent="0.4">
      <c r="A72" s="63">
        <f>A71+1</f>
        <v>22</v>
      </c>
      <c r="B72" s="19" t="s">
        <v>89</v>
      </c>
      <c r="C72" s="20" t="s">
        <v>19</v>
      </c>
      <c r="D72" s="77">
        <v>0.7</v>
      </c>
      <c r="E72" s="77"/>
      <c r="F72" s="25"/>
    </row>
    <row r="73" spans="1:28" s="24" customFormat="1" ht="30" hidden="1" customHeight="1" outlineLevel="1" x14ac:dyDescent="0.4">
      <c r="A73" s="26"/>
      <c r="B73" s="17" t="s">
        <v>88</v>
      </c>
      <c r="C73" s="81" t="s">
        <v>25</v>
      </c>
      <c r="D73" s="82">
        <f>0.7*0.36</f>
        <v>0.252</v>
      </c>
      <c r="E73" s="81">
        <v>4.8000000000000001E-2</v>
      </c>
      <c r="F73" s="25"/>
    </row>
    <row r="74" spans="1:28" s="46" customFormat="1" ht="21" customHeight="1" collapsed="1" x14ac:dyDescent="0.35">
      <c r="A74" s="116" t="s">
        <v>91</v>
      </c>
      <c r="B74" s="116"/>
      <c r="C74" s="116"/>
      <c r="D74" s="116"/>
      <c r="E74" s="116"/>
      <c r="F74" s="41"/>
      <c r="G74" s="42"/>
      <c r="H74" s="43"/>
      <c r="I74" s="44"/>
      <c r="J74" s="44"/>
      <c r="K74" s="45"/>
      <c r="L74" s="45"/>
      <c r="M74" s="45"/>
      <c r="N74" s="43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spans="1:28" s="46" customFormat="1" ht="36" customHeight="1" x14ac:dyDescent="0.35">
      <c r="A75" s="63">
        <f>A72+1</f>
        <v>23</v>
      </c>
      <c r="B75" s="14" t="s">
        <v>80</v>
      </c>
      <c r="C75" s="15" t="s">
        <v>17</v>
      </c>
      <c r="D75" s="77">
        <v>7.0000000000000007E-2</v>
      </c>
      <c r="E75" s="14"/>
      <c r="F75" s="41"/>
      <c r="G75" s="42"/>
      <c r="H75" s="43"/>
      <c r="I75" s="44"/>
      <c r="J75" s="44"/>
      <c r="K75" s="45"/>
      <c r="L75" s="45"/>
      <c r="M75" s="45"/>
      <c r="N75" s="43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spans="1:28" ht="34.5" hidden="1" customHeight="1" outlineLevel="1" x14ac:dyDescent="0.35">
      <c r="A76" s="16"/>
      <c r="B76" s="17" t="s">
        <v>78</v>
      </c>
      <c r="C76" s="18" t="s">
        <v>17</v>
      </c>
      <c r="D76" s="18">
        <v>7.0000000000000007E-2</v>
      </c>
      <c r="E76" s="17"/>
      <c r="F76" s="47"/>
    </row>
    <row r="77" spans="1:28" ht="33" customHeight="1" collapsed="1" x14ac:dyDescent="0.35">
      <c r="A77" s="63">
        <f>A75+1</f>
        <v>24</v>
      </c>
      <c r="B77" s="14" t="s">
        <v>81</v>
      </c>
      <c r="C77" s="15" t="s">
        <v>17</v>
      </c>
      <c r="D77" s="77">
        <v>0.37</v>
      </c>
      <c r="E77" s="15"/>
      <c r="F77" s="31"/>
    </row>
    <row r="78" spans="1:28" ht="34.5" hidden="1" customHeight="1" outlineLevel="1" x14ac:dyDescent="0.35">
      <c r="A78" s="16"/>
      <c r="B78" s="17" t="s">
        <v>82</v>
      </c>
      <c r="C78" s="18" t="s">
        <v>16</v>
      </c>
      <c r="D78" s="65">
        <f>3.91*1/1000*1.1</f>
        <v>4.301000000000001E-3</v>
      </c>
      <c r="E78" s="18"/>
      <c r="F78" s="47"/>
    </row>
    <row r="79" spans="1:28" s="24" customFormat="1" ht="30" hidden="1" customHeight="1" outlineLevel="1" x14ac:dyDescent="0.4">
      <c r="A79" s="26"/>
      <c r="B79" s="17" t="s">
        <v>83</v>
      </c>
      <c r="C79" s="81" t="s">
        <v>17</v>
      </c>
      <c r="D79" s="18">
        <v>0.37</v>
      </c>
      <c r="E79" s="67"/>
      <c r="F79" s="25"/>
    </row>
    <row r="80" spans="1:28" s="24" customFormat="1" ht="30" customHeight="1" collapsed="1" x14ac:dyDescent="0.4">
      <c r="A80" s="63">
        <f>A77+1</f>
        <v>25</v>
      </c>
      <c r="B80" s="19" t="s">
        <v>84</v>
      </c>
      <c r="C80" s="20" t="s">
        <v>21</v>
      </c>
      <c r="D80" s="77" t="s">
        <v>41</v>
      </c>
      <c r="E80" s="77"/>
      <c r="F80" s="25"/>
    </row>
    <row r="81" spans="1:28" s="24" customFormat="1" ht="30" hidden="1" customHeight="1" outlineLevel="1" x14ac:dyDescent="0.4">
      <c r="A81" s="26"/>
      <c r="B81" s="17" t="s">
        <v>85</v>
      </c>
      <c r="C81" s="81" t="s">
        <v>18</v>
      </c>
      <c r="D81" s="83">
        <v>1</v>
      </c>
      <c r="E81" s="67"/>
      <c r="F81" s="25"/>
    </row>
    <row r="82" spans="1:28" s="46" customFormat="1" ht="36" customHeight="1" collapsed="1" x14ac:dyDescent="0.35">
      <c r="A82" s="63">
        <f>A80+1</f>
        <v>26</v>
      </c>
      <c r="B82" s="14" t="s">
        <v>238</v>
      </c>
      <c r="C82" s="15" t="s">
        <v>21</v>
      </c>
      <c r="D82" s="77" t="s">
        <v>420</v>
      </c>
      <c r="E82" s="14"/>
      <c r="F82" s="41"/>
      <c r="G82" s="42"/>
      <c r="H82" s="43"/>
      <c r="I82" s="44"/>
      <c r="J82" s="44"/>
      <c r="K82" s="45"/>
      <c r="L82" s="45"/>
      <c r="M82" s="45"/>
      <c r="N82" s="43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spans="1:28" s="24" customFormat="1" ht="30" hidden="1" customHeight="1" outlineLevel="1" x14ac:dyDescent="0.4">
      <c r="A83" s="26"/>
      <c r="B83" s="17" t="s">
        <v>90</v>
      </c>
      <c r="C83" s="81" t="s">
        <v>16</v>
      </c>
      <c r="D83" s="67">
        <f>(3.95+3.95+26.56)/1000*1.0012</f>
        <v>3.4501351999999999E-2</v>
      </c>
      <c r="E83" s="67"/>
      <c r="F83" s="25"/>
    </row>
    <row r="84" spans="1:28" s="24" customFormat="1" ht="30" customHeight="1" collapsed="1" x14ac:dyDescent="0.4">
      <c r="A84" s="63">
        <f>A82+1</f>
        <v>27</v>
      </c>
      <c r="B84" s="19" t="s">
        <v>242</v>
      </c>
      <c r="C84" s="15" t="s">
        <v>21</v>
      </c>
      <c r="D84" s="77" t="s">
        <v>420</v>
      </c>
      <c r="E84" s="77"/>
      <c r="F84" s="25"/>
    </row>
    <row r="85" spans="1:28" ht="36" customHeight="1" x14ac:dyDescent="0.35">
      <c r="A85" s="63">
        <f>A84+1</f>
        <v>28</v>
      </c>
      <c r="B85" s="19" t="s">
        <v>34</v>
      </c>
      <c r="C85" s="15" t="s">
        <v>19</v>
      </c>
      <c r="D85" s="64">
        <f>((0.09*1.2*2)+(0.09*0.41*2))</f>
        <v>0.2898</v>
      </c>
      <c r="E85" s="15"/>
      <c r="F85" s="47"/>
    </row>
    <row r="86" spans="1:28" ht="36" customHeight="1" x14ac:dyDescent="0.35">
      <c r="A86" s="63">
        <f>A85+1</f>
        <v>29</v>
      </c>
      <c r="B86" s="19" t="s">
        <v>51</v>
      </c>
      <c r="C86" s="15" t="s">
        <v>19</v>
      </c>
      <c r="D86" s="64">
        <f>((0.09*1.2*2)+(0.09*0.41*2))</f>
        <v>0.2898</v>
      </c>
      <c r="E86" s="15"/>
      <c r="F86" s="47"/>
    </row>
    <row r="87" spans="1:28" ht="36" customHeight="1" x14ac:dyDescent="0.35">
      <c r="A87" s="63">
        <f>A86+1</f>
        <v>30</v>
      </c>
      <c r="B87" s="19" t="s">
        <v>52</v>
      </c>
      <c r="C87" s="15" t="s">
        <v>19</v>
      </c>
      <c r="D87" s="64">
        <f>((0.09*1.2*2)+(0.09*0.41*2))</f>
        <v>0.2898</v>
      </c>
      <c r="E87" s="15"/>
      <c r="F87" s="47"/>
    </row>
    <row r="88" spans="1:28" s="24" customFormat="1" ht="30" customHeight="1" x14ac:dyDescent="0.4">
      <c r="A88" s="63">
        <f>A87+1</f>
        <v>31</v>
      </c>
      <c r="B88" s="19" t="s">
        <v>89</v>
      </c>
      <c r="C88" s="20" t="s">
        <v>19</v>
      </c>
      <c r="D88" s="64">
        <f>((0.09*1.2*2)+(0.09*0.41*2))</f>
        <v>0.2898</v>
      </c>
      <c r="E88" s="77"/>
      <c r="F88" s="25"/>
    </row>
    <row r="89" spans="1:28" s="24" customFormat="1" ht="30" hidden="1" customHeight="1" outlineLevel="1" x14ac:dyDescent="0.4">
      <c r="A89" s="26"/>
      <c r="B89" s="17" t="s">
        <v>88</v>
      </c>
      <c r="C89" s="81" t="s">
        <v>25</v>
      </c>
      <c r="D89" s="82">
        <f>0.3*0.36</f>
        <v>0.108</v>
      </c>
      <c r="E89" s="81">
        <v>4.8000000000000001E-2</v>
      </c>
      <c r="F89" s="25"/>
    </row>
    <row r="90" spans="1:28" s="46" customFormat="1" ht="30" customHeight="1" collapsed="1" x14ac:dyDescent="0.35">
      <c r="A90" s="118" t="s">
        <v>92</v>
      </c>
      <c r="B90" s="118"/>
      <c r="C90" s="118"/>
      <c r="D90" s="118"/>
      <c r="E90" s="118"/>
      <c r="F90" s="41"/>
      <c r="G90" s="42"/>
      <c r="H90" s="43"/>
      <c r="I90" s="44"/>
      <c r="J90" s="44"/>
      <c r="K90" s="45"/>
      <c r="L90" s="45"/>
      <c r="M90" s="45"/>
      <c r="N90" s="43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</row>
    <row r="91" spans="1:28" s="46" customFormat="1" ht="21" customHeight="1" x14ac:dyDescent="0.35">
      <c r="A91" s="115" t="s">
        <v>93</v>
      </c>
      <c r="B91" s="115"/>
      <c r="C91" s="115"/>
      <c r="D91" s="115"/>
      <c r="E91" s="115"/>
      <c r="F91" s="41"/>
      <c r="G91" s="42"/>
      <c r="H91" s="43"/>
      <c r="I91" s="44"/>
      <c r="J91" s="44"/>
      <c r="K91" s="45"/>
      <c r="L91" s="45"/>
      <c r="M91" s="45"/>
      <c r="N91" s="43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</row>
    <row r="92" spans="1:28" ht="30" customHeight="1" x14ac:dyDescent="0.35">
      <c r="A92" s="63">
        <f>A88+1</f>
        <v>32</v>
      </c>
      <c r="B92" s="14" t="s">
        <v>74</v>
      </c>
      <c r="C92" s="15" t="s">
        <v>23</v>
      </c>
      <c r="D92" s="101">
        <v>22</v>
      </c>
      <c r="E92" s="15"/>
      <c r="F92" s="47"/>
    </row>
    <row r="93" spans="1:28" ht="31" hidden="1" customHeight="1" outlineLevel="1" x14ac:dyDescent="0.35">
      <c r="A93" s="16"/>
      <c r="B93" s="17" t="s">
        <v>55</v>
      </c>
      <c r="C93" s="81" t="s">
        <v>18</v>
      </c>
      <c r="D93" s="83">
        <v>22</v>
      </c>
      <c r="E93" s="82">
        <v>2.2000000000000002</v>
      </c>
      <c r="F93" s="47"/>
    </row>
    <row r="94" spans="1:28" ht="31" hidden="1" customHeight="1" outlineLevel="1" x14ac:dyDescent="0.35">
      <c r="A94" s="73"/>
      <c r="B94" s="17" t="s">
        <v>78</v>
      </c>
      <c r="C94" s="81" t="s">
        <v>17</v>
      </c>
      <c r="D94" s="102">
        <v>1.43</v>
      </c>
      <c r="E94" s="81"/>
      <c r="F94" s="47"/>
    </row>
    <row r="95" spans="1:28" ht="30" customHeight="1" collapsed="1" x14ac:dyDescent="0.35">
      <c r="A95" s="63">
        <f>A92+1</f>
        <v>33</v>
      </c>
      <c r="B95" s="14" t="s">
        <v>416</v>
      </c>
      <c r="C95" s="15" t="s">
        <v>17</v>
      </c>
      <c r="D95" s="77">
        <v>5.44</v>
      </c>
      <c r="E95" s="15"/>
      <c r="F95" s="47"/>
    </row>
    <row r="96" spans="1:28" ht="31" hidden="1" customHeight="1" outlineLevel="1" x14ac:dyDescent="0.35">
      <c r="A96" s="16"/>
      <c r="B96" s="17" t="s">
        <v>77</v>
      </c>
      <c r="C96" s="81" t="s">
        <v>17</v>
      </c>
      <c r="D96" s="76">
        <f>5.44*1.26*1.02</f>
        <v>6.9914880000000013</v>
      </c>
      <c r="E96" s="67"/>
      <c r="F96" s="47"/>
    </row>
    <row r="97" spans="1:28" s="46" customFormat="1" ht="21" customHeight="1" collapsed="1" x14ac:dyDescent="0.35">
      <c r="A97" s="116" t="s">
        <v>94</v>
      </c>
      <c r="B97" s="116"/>
      <c r="C97" s="116"/>
      <c r="D97" s="116"/>
      <c r="E97" s="116"/>
      <c r="F97" s="41"/>
      <c r="G97" s="42"/>
      <c r="H97" s="43"/>
      <c r="I97" s="44"/>
      <c r="J97" s="44"/>
      <c r="K97" s="45"/>
      <c r="L97" s="45"/>
      <c r="M97" s="45"/>
      <c r="N97" s="43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</row>
    <row r="98" spans="1:28" s="46" customFormat="1" ht="36" customHeight="1" x14ac:dyDescent="0.35">
      <c r="A98" s="63">
        <f>A95+1</f>
        <v>34</v>
      </c>
      <c r="B98" s="14" t="s">
        <v>80</v>
      </c>
      <c r="C98" s="15" t="s">
        <v>17</v>
      </c>
      <c r="D98" s="77">
        <f>0.07*2</f>
        <v>0.14000000000000001</v>
      </c>
      <c r="E98" s="14"/>
      <c r="F98" s="41"/>
      <c r="G98" s="42"/>
      <c r="H98" s="43"/>
      <c r="I98" s="44"/>
      <c r="J98" s="44"/>
      <c r="K98" s="45"/>
      <c r="L98" s="45"/>
      <c r="M98" s="45"/>
      <c r="N98" s="43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</row>
    <row r="99" spans="1:28" ht="34.5" hidden="1" customHeight="1" outlineLevel="1" x14ac:dyDescent="0.35">
      <c r="A99" s="16"/>
      <c r="B99" s="17" t="s">
        <v>78</v>
      </c>
      <c r="C99" s="18" t="s">
        <v>17</v>
      </c>
      <c r="D99" s="18">
        <v>0.14000000000000001</v>
      </c>
      <c r="E99" s="17"/>
      <c r="F99" s="47"/>
    </row>
    <row r="100" spans="1:28" ht="33" customHeight="1" collapsed="1" x14ac:dyDescent="0.35">
      <c r="A100" s="63">
        <f>A98+1</f>
        <v>35</v>
      </c>
      <c r="B100" s="14" t="s">
        <v>81</v>
      </c>
      <c r="C100" s="15" t="s">
        <v>17</v>
      </c>
      <c r="D100" s="77">
        <f>2*0.37</f>
        <v>0.74</v>
      </c>
      <c r="E100" s="15"/>
      <c r="F100" s="31"/>
    </row>
    <row r="101" spans="1:28" ht="34.5" hidden="1" customHeight="1" outlineLevel="1" x14ac:dyDescent="0.35">
      <c r="A101" s="16"/>
      <c r="B101" s="17" t="s">
        <v>82</v>
      </c>
      <c r="C101" s="18" t="s">
        <v>16</v>
      </c>
      <c r="D101" s="65">
        <f>3.91*2/1000*1.0012</f>
        <v>7.8293840000000017E-3</v>
      </c>
      <c r="E101" s="18"/>
      <c r="F101" s="47"/>
    </row>
    <row r="102" spans="1:28" s="24" customFormat="1" ht="30" hidden="1" customHeight="1" outlineLevel="1" x14ac:dyDescent="0.4">
      <c r="A102" s="26"/>
      <c r="B102" s="17" t="s">
        <v>83</v>
      </c>
      <c r="C102" s="81" t="s">
        <v>17</v>
      </c>
      <c r="D102" s="18">
        <v>0.74</v>
      </c>
      <c r="E102" s="67"/>
      <c r="F102" s="25"/>
    </row>
    <row r="103" spans="1:28" s="24" customFormat="1" ht="30" customHeight="1" collapsed="1" x14ac:dyDescent="0.4">
      <c r="A103" s="63">
        <f>A100+1</f>
        <v>36</v>
      </c>
      <c r="B103" s="19" t="s">
        <v>84</v>
      </c>
      <c r="C103" s="20" t="s">
        <v>21</v>
      </c>
      <c r="D103" s="77" t="s">
        <v>87</v>
      </c>
      <c r="E103" s="77"/>
      <c r="F103" s="25"/>
    </row>
    <row r="104" spans="1:28" s="24" customFormat="1" ht="30" hidden="1" customHeight="1" outlineLevel="1" x14ac:dyDescent="0.4">
      <c r="A104" s="26"/>
      <c r="B104" s="17" t="s">
        <v>85</v>
      </c>
      <c r="C104" s="81" t="s">
        <v>18</v>
      </c>
      <c r="D104" s="83">
        <v>2</v>
      </c>
      <c r="E104" s="67"/>
      <c r="F104" s="25"/>
    </row>
    <row r="105" spans="1:28" s="46" customFormat="1" ht="36" customHeight="1" collapsed="1" x14ac:dyDescent="0.35">
      <c r="A105" s="63">
        <f>A103+1</f>
        <v>37</v>
      </c>
      <c r="B105" s="14" t="s">
        <v>238</v>
      </c>
      <c r="C105" s="15" t="s">
        <v>21</v>
      </c>
      <c r="D105" s="77" t="s">
        <v>422</v>
      </c>
      <c r="E105" s="14"/>
      <c r="F105" s="41"/>
      <c r="G105" s="42"/>
      <c r="H105" s="43"/>
      <c r="I105" s="44"/>
      <c r="J105" s="44"/>
      <c r="K105" s="45"/>
      <c r="L105" s="45"/>
      <c r="M105" s="45"/>
      <c r="N105" s="43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</row>
    <row r="106" spans="1:28" s="24" customFormat="1" ht="30" hidden="1" customHeight="1" outlineLevel="1" x14ac:dyDescent="0.4">
      <c r="A106" s="26"/>
      <c r="B106" s="17" t="s">
        <v>421</v>
      </c>
      <c r="C106" s="81" t="s">
        <v>16</v>
      </c>
      <c r="D106" s="67">
        <f>14.58*2/1000*1.0012</f>
        <v>2.9194991999999999E-2</v>
      </c>
      <c r="E106" s="67"/>
      <c r="F106" s="25"/>
    </row>
    <row r="107" spans="1:28" s="24" customFormat="1" ht="30" hidden="1" customHeight="1" outlineLevel="1" x14ac:dyDescent="0.4">
      <c r="A107" s="26"/>
      <c r="B107" s="17" t="s">
        <v>58</v>
      </c>
      <c r="C107" s="81" t="s">
        <v>16</v>
      </c>
      <c r="D107" s="67">
        <f>5.66*2/1000*1.0012</f>
        <v>1.1333584000000001E-2</v>
      </c>
      <c r="E107" s="67"/>
      <c r="F107" s="25"/>
    </row>
    <row r="108" spans="1:28" s="24" customFormat="1" ht="30" hidden="1" customHeight="1" outlineLevel="1" x14ac:dyDescent="0.4">
      <c r="A108" s="26"/>
      <c r="B108" s="17" t="s">
        <v>47</v>
      </c>
      <c r="C108" s="81" t="s">
        <v>16</v>
      </c>
      <c r="D108" s="67">
        <f>1.88*2/1000*1.0012</f>
        <v>3.7645120000000002E-3</v>
      </c>
      <c r="E108" s="67"/>
      <c r="F108" s="25"/>
    </row>
    <row r="109" spans="1:28" s="24" customFormat="1" ht="30" customHeight="1" collapsed="1" x14ac:dyDescent="0.4">
      <c r="A109" s="63">
        <f>A103+1</f>
        <v>37</v>
      </c>
      <c r="B109" s="19" t="s">
        <v>242</v>
      </c>
      <c r="C109" s="15" t="s">
        <v>21</v>
      </c>
      <c r="D109" s="77" t="s">
        <v>422</v>
      </c>
      <c r="E109" s="77"/>
      <c r="F109" s="25"/>
    </row>
    <row r="110" spans="1:28" ht="36" customHeight="1" x14ac:dyDescent="0.35">
      <c r="A110" s="63">
        <f>A109+1</f>
        <v>38</v>
      </c>
      <c r="B110" s="19" t="s">
        <v>34</v>
      </c>
      <c r="C110" s="15" t="s">
        <v>19</v>
      </c>
      <c r="D110" s="64">
        <f>((0.089*0.56*3.14)+(0.3*0.3*2))*2</f>
        <v>0.67299520000000002</v>
      </c>
      <c r="E110" s="15"/>
      <c r="F110" s="47"/>
    </row>
    <row r="111" spans="1:28" ht="36" customHeight="1" x14ac:dyDescent="0.35">
      <c r="A111" s="63">
        <f>A110+1</f>
        <v>39</v>
      </c>
      <c r="B111" s="19" t="s">
        <v>51</v>
      </c>
      <c r="C111" s="15" t="s">
        <v>19</v>
      </c>
      <c r="D111" s="64">
        <f>((0.089*0.56*3.14)+(0.3*0.3*2))*2</f>
        <v>0.67299520000000002</v>
      </c>
      <c r="E111" s="15"/>
      <c r="F111" s="47"/>
    </row>
    <row r="112" spans="1:28" ht="36" customHeight="1" x14ac:dyDescent="0.35">
      <c r="A112" s="63">
        <f>A111+1</f>
        <v>40</v>
      </c>
      <c r="B112" s="19" t="s">
        <v>52</v>
      </c>
      <c r="C112" s="15" t="s">
        <v>19</v>
      </c>
      <c r="D112" s="64">
        <f>((0.089*0.56*3.14)+(0.3*0.3*2))*2</f>
        <v>0.67299520000000002</v>
      </c>
      <c r="E112" s="15"/>
      <c r="F112" s="47"/>
    </row>
    <row r="113" spans="1:28" s="24" customFormat="1" ht="30" customHeight="1" x14ac:dyDescent="0.4">
      <c r="A113" s="63">
        <f>A112+1</f>
        <v>41</v>
      </c>
      <c r="B113" s="19" t="s">
        <v>89</v>
      </c>
      <c r="C113" s="20" t="s">
        <v>19</v>
      </c>
      <c r="D113" s="77">
        <v>0.7</v>
      </c>
      <c r="E113" s="77"/>
      <c r="F113" s="25"/>
    </row>
    <row r="114" spans="1:28" s="24" customFormat="1" ht="30" hidden="1" customHeight="1" outlineLevel="1" x14ac:dyDescent="0.4">
      <c r="A114" s="26"/>
      <c r="B114" s="17" t="s">
        <v>88</v>
      </c>
      <c r="C114" s="81" t="s">
        <v>25</v>
      </c>
      <c r="D114" s="82">
        <f>0.7*0.36</f>
        <v>0.252</v>
      </c>
      <c r="E114" s="81">
        <v>4.8000000000000001E-2</v>
      </c>
      <c r="F114" s="25"/>
    </row>
    <row r="115" spans="1:28" s="46" customFormat="1" ht="21" customHeight="1" collapsed="1" x14ac:dyDescent="0.35">
      <c r="A115" s="115" t="s">
        <v>95</v>
      </c>
      <c r="B115" s="115"/>
      <c r="C115" s="115"/>
      <c r="D115" s="115"/>
      <c r="E115" s="115"/>
      <c r="F115" s="41"/>
      <c r="G115" s="42"/>
      <c r="H115" s="43"/>
      <c r="I115" s="44"/>
      <c r="J115" s="44"/>
      <c r="K115" s="45"/>
      <c r="L115" s="45"/>
      <c r="M115" s="45"/>
      <c r="N115" s="43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</row>
    <row r="116" spans="1:28" s="46" customFormat="1" ht="21" customHeight="1" x14ac:dyDescent="0.35">
      <c r="A116" s="116" t="s">
        <v>111</v>
      </c>
      <c r="B116" s="116"/>
      <c r="C116" s="116"/>
      <c r="D116" s="116"/>
      <c r="E116" s="116"/>
      <c r="F116" s="41"/>
      <c r="G116" s="42"/>
      <c r="H116" s="43"/>
      <c r="I116" s="44"/>
      <c r="J116" s="44"/>
      <c r="K116" s="45"/>
      <c r="L116" s="45"/>
      <c r="M116" s="45"/>
      <c r="N116" s="43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</row>
    <row r="117" spans="1:28" s="40" customFormat="1" ht="31" customHeight="1" x14ac:dyDescent="0.35">
      <c r="A117" s="63">
        <f>A113+1</f>
        <v>42</v>
      </c>
      <c r="B117" s="14" t="s">
        <v>49</v>
      </c>
      <c r="C117" s="15" t="s">
        <v>17</v>
      </c>
      <c r="D117" s="79">
        <f>4.2*9.5*2.36</f>
        <v>94.163999999999987</v>
      </c>
      <c r="E117" s="69"/>
      <c r="F117" s="36"/>
      <c r="G117" s="37"/>
      <c r="H117" s="38"/>
      <c r="I117" s="37"/>
      <c r="J117" s="37"/>
      <c r="K117" s="39"/>
      <c r="L117" s="39"/>
      <c r="M117" s="39"/>
      <c r="N117" s="38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</row>
    <row r="118" spans="1:28" s="46" customFormat="1" ht="36" customHeight="1" x14ac:dyDescent="0.35">
      <c r="A118" s="63">
        <f>A117+1</f>
        <v>43</v>
      </c>
      <c r="B118" s="14" t="s">
        <v>96</v>
      </c>
      <c r="C118" s="15" t="s">
        <v>17</v>
      </c>
      <c r="D118" s="77">
        <f>0.76*2</f>
        <v>1.52</v>
      </c>
      <c r="E118" s="14"/>
      <c r="F118" s="41"/>
      <c r="G118" s="42"/>
      <c r="H118" s="43"/>
      <c r="I118" s="44"/>
      <c r="J118" s="44"/>
      <c r="K118" s="45"/>
      <c r="L118" s="45"/>
      <c r="M118" s="45"/>
      <c r="N118" s="43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</row>
    <row r="119" spans="1:28" ht="34.5" hidden="1" customHeight="1" outlineLevel="1" x14ac:dyDescent="0.35">
      <c r="A119" s="16"/>
      <c r="B119" s="17" t="s">
        <v>72</v>
      </c>
      <c r="C119" s="18" t="s">
        <v>17</v>
      </c>
      <c r="D119" s="76">
        <f>1.52*1.1</f>
        <v>1.6720000000000002</v>
      </c>
      <c r="E119" s="17"/>
      <c r="F119" s="47"/>
    </row>
    <row r="120" spans="1:28" ht="33" customHeight="1" collapsed="1" x14ac:dyDescent="0.35">
      <c r="A120" s="63">
        <f>A118+1</f>
        <v>44</v>
      </c>
      <c r="B120" s="14" t="s">
        <v>97</v>
      </c>
      <c r="C120" s="15" t="s">
        <v>21</v>
      </c>
      <c r="D120" s="77" t="s">
        <v>98</v>
      </c>
      <c r="E120" s="15"/>
      <c r="F120" s="31"/>
    </row>
    <row r="121" spans="1:28" ht="34.5" hidden="1" customHeight="1" outlineLevel="1" x14ac:dyDescent="0.35">
      <c r="A121" s="16"/>
      <c r="B121" s="17" t="s">
        <v>100</v>
      </c>
      <c r="C121" s="18" t="s">
        <v>18</v>
      </c>
      <c r="D121" s="18">
        <v>8</v>
      </c>
      <c r="E121" s="18">
        <v>13.04</v>
      </c>
      <c r="F121" s="47"/>
    </row>
    <row r="122" spans="1:28" ht="33" customHeight="1" collapsed="1" x14ac:dyDescent="0.35">
      <c r="A122" s="63">
        <f>A120+1</f>
        <v>45</v>
      </c>
      <c r="B122" s="14" t="s">
        <v>99</v>
      </c>
      <c r="C122" s="15" t="s">
        <v>21</v>
      </c>
      <c r="D122" s="77" t="s">
        <v>102</v>
      </c>
      <c r="E122" s="15"/>
      <c r="F122" s="31"/>
    </row>
    <row r="123" spans="1:28" ht="34.5" hidden="1" customHeight="1" outlineLevel="1" x14ac:dyDescent="0.35">
      <c r="A123" s="16"/>
      <c r="B123" s="17" t="s">
        <v>101</v>
      </c>
      <c r="C123" s="18" t="s">
        <v>18</v>
      </c>
      <c r="D123" s="18">
        <v>10</v>
      </c>
      <c r="E123" s="18">
        <v>7.9</v>
      </c>
      <c r="F123" s="47"/>
    </row>
    <row r="124" spans="1:28" s="46" customFormat="1" ht="36" customHeight="1" collapsed="1" x14ac:dyDescent="0.35">
      <c r="A124" s="63">
        <f>A122+1</f>
        <v>46</v>
      </c>
      <c r="B124" s="14" t="s">
        <v>105</v>
      </c>
      <c r="C124" s="15" t="s">
        <v>18</v>
      </c>
      <c r="D124" s="77">
        <v>8</v>
      </c>
      <c r="E124" s="14"/>
      <c r="F124" s="41"/>
      <c r="G124" s="42"/>
      <c r="H124" s="43"/>
      <c r="I124" s="44"/>
      <c r="J124" s="44"/>
      <c r="K124" s="45"/>
      <c r="L124" s="45"/>
      <c r="M124" s="45"/>
      <c r="N124" s="43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</row>
    <row r="125" spans="1:28" ht="33" customHeight="1" x14ac:dyDescent="0.35">
      <c r="A125" s="63">
        <f>A124+1</f>
        <v>47</v>
      </c>
      <c r="B125" s="14" t="s">
        <v>103</v>
      </c>
      <c r="C125" s="15" t="s">
        <v>21</v>
      </c>
      <c r="D125" s="77" t="s">
        <v>106</v>
      </c>
      <c r="E125" s="15"/>
      <c r="F125" s="31"/>
    </row>
    <row r="126" spans="1:28" ht="34.5" hidden="1" customHeight="1" outlineLevel="1" x14ac:dyDescent="0.35">
      <c r="A126" s="16"/>
      <c r="B126" s="17" t="s">
        <v>104</v>
      </c>
      <c r="C126" s="18" t="s">
        <v>18</v>
      </c>
      <c r="D126" s="18">
        <v>8</v>
      </c>
      <c r="E126" s="17"/>
      <c r="F126" s="47"/>
    </row>
    <row r="127" spans="1:28" s="24" customFormat="1" ht="30" customHeight="1" collapsed="1" x14ac:dyDescent="0.4">
      <c r="A127" s="63">
        <f>A125+1</f>
        <v>48</v>
      </c>
      <c r="B127" s="19" t="s">
        <v>86</v>
      </c>
      <c r="C127" s="20" t="s">
        <v>16</v>
      </c>
      <c r="D127" s="77">
        <v>7.4999999999999997E-2</v>
      </c>
      <c r="E127" s="77"/>
      <c r="F127" s="25"/>
    </row>
    <row r="128" spans="1:28" s="24" customFormat="1" ht="30" hidden="1" customHeight="1" outlineLevel="1" x14ac:dyDescent="0.4">
      <c r="A128" s="26"/>
      <c r="B128" s="17" t="s">
        <v>48</v>
      </c>
      <c r="C128" s="81" t="s">
        <v>16</v>
      </c>
      <c r="D128" s="67">
        <f>74.89*1/1000*1.1</f>
        <v>8.2379000000000008E-2</v>
      </c>
      <c r="E128" s="67"/>
      <c r="F128" s="25"/>
    </row>
    <row r="129" spans="1:28" ht="36" customHeight="1" collapsed="1" x14ac:dyDescent="0.35">
      <c r="A129" s="63">
        <v>53</v>
      </c>
      <c r="B129" s="19" t="s">
        <v>110</v>
      </c>
      <c r="C129" s="15" t="s">
        <v>17</v>
      </c>
      <c r="D129" s="23">
        <v>0.12</v>
      </c>
      <c r="E129" s="15"/>
      <c r="F129" s="47"/>
    </row>
    <row r="130" spans="1:28" s="24" customFormat="1" ht="30" customHeight="1" x14ac:dyDescent="0.4">
      <c r="A130" s="63">
        <v>54</v>
      </c>
      <c r="B130" s="19" t="s">
        <v>108</v>
      </c>
      <c r="C130" s="20" t="s">
        <v>107</v>
      </c>
      <c r="D130" s="77" t="s">
        <v>109</v>
      </c>
      <c r="E130" s="77"/>
      <c r="F130" s="25"/>
    </row>
    <row r="131" spans="1:28" ht="31" hidden="1" customHeight="1" outlineLevel="1" x14ac:dyDescent="0.35">
      <c r="A131" s="16"/>
      <c r="B131" s="17" t="s">
        <v>423</v>
      </c>
      <c r="C131" s="81" t="s">
        <v>17</v>
      </c>
      <c r="D131" s="102">
        <v>0.12</v>
      </c>
      <c r="E131" s="81"/>
      <c r="F131" s="47"/>
    </row>
    <row r="132" spans="1:28" ht="31" customHeight="1" collapsed="1" x14ac:dyDescent="0.35">
      <c r="A132" s="63">
        <v>55</v>
      </c>
      <c r="B132" s="14" t="s">
        <v>40</v>
      </c>
      <c r="C132" s="15" t="s">
        <v>19</v>
      </c>
      <c r="D132" s="79">
        <f>((0.5*1.8*2)+(2.4*1.8*2)+(0.6*1.2*2)+(0.6*2.5*2))*2</f>
        <v>29.76</v>
      </c>
      <c r="E132" s="15"/>
      <c r="F132" s="47"/>
    </row>
    <row r="133" spans="1:28" ht="31" hidden="1" customHeight="1" outlineLevel="1" x14ac:dyDescent="0.35">
      <c r="A133" s="16"/>
      <c r="B133" s="17" t="s">
        <v>26</v>
      </c>
      <c r="C133" s="81" t="s">
        <v>25</v>
      </c>
      <c r="D133" s="82">
        <f>29.8*2*2</f>
        <v>119.2</v>
      </c>
      <c r="E133" s="81">
        <v>0.12</v>
      </c>
      <c r="F133" s="47"/>
    </row>
    <row r="134" spans="1:28" ht="36" customHeight="1" collapsed="1" x14ac:dyDescent="0.35">
      <c r="A134" s="63">
        <v>56</v>
      </c>
      <c r="B134" s="14" t="s">
        <v>73</v>
      </c>
      <c r="C134" s="15" t="s">
        <v>17</v>
      </c>
      <c r="D134" s="64">
        <f>94.2-9.4</f>
        <v>84.8</v>
      </c>
      <c r="E134" s="15"/>
      <c r="F134" s="47"/>
    </row>
    <row r="135" spans="1:28" s="46" customFormat="1" ht="21" customHeight="1" x14ac:dyDescent="0.35">
      <c r="A135" s="115" t="s">
        <v>112</v>
      </c>
      <c r="B135" s="115"/>
      <c r="C135" s="115"/>
      <c r="D135" s="115"/>
      <c r="E135" s="115"/>
      <c r="F135" s="41"/>
      <c r="G135" s="42"/>
      <c r="H135" s="43"/>
      <c r="I135" s="44"/>
      <c r="J135" s="44"/>
      <c r="K135" s="45"/>
      <c r="L135" s="45"/>
      <c r="M135" s="45"/>
      <c r="N135" s="43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</row>
    <row r="136" spans="1:28" ht="36" customHeight="1" x14ac:dyDescent="0.35">
      <c r="A136" s="63">
        <f>A134+1</f>
        <v>57</v>
      </c>
      <c r="B136" s="19" t="s">
        <v>141</v>
      </c>
      <c r="C136" s="15" t="s">
        <v>18</v>
      </c>
      <c r="D136" s="78">
        <v>2</v>
      </c>
      <c r="E136" s="15"/>
      <c r="F136" s="47"/>
    </row>
    <row r="137" spans="1:28" s="24" customFormat="1" ht="30" hidden="1" customHeight="1" outlineLevel="1" x14ac:dyDescent="0.4">
      <c r="A137" s="26"/>
      <c r="B137" s="17" t="s">
        <v>142</v>
      </c>
      <c r="C137" s="81" t="s">
        <v>18</v>
      </c>
      <c r="D137" s="83">
        <v>2</v>
      </c>
      <c r="E137" s="81">
        <v>2.2240000000000002</v>
      </c>
      <c r="F137" s="25"/>
    </row>
    <row r="138" spans="1:28" s="24" customFormat="1" ht="30" customHeight="1" collapsed="1" x14ac:dyDescent="0.4">
      <c r="A138" s="63">
        <f>A136+1</f>
        <v>58</v>
      </c>
      <c r="B138" s="19" t="s">
        <v>143</v>
      </c>
      <c r="C138" s="20" t="s">
        <v>18</v>
      </c>
      <c r="D138" s="77">
        <v>5</v>
      </c>
      <c r="E138" s="77"/>
      <c r="F138" s="25"/>
    </row>
    <row r="139" spans="1:28" s="24" customFormat="1" ht="30" customHeight="1" x14ac:dyDescent="0.4">
      <c r="A139" s="63">
        <f>A138+1</f>
        <v>59</v>
      </c>
      <c r="B139" s="19" t="s">
        <v>466</v>
      </c>
      <c r="C139" s="20" t="s">
        <v>18</v>
      </c>
      <c r="D139" s="77">
        <v>4</v>
      </c>
      <c r="E139" s="77"/>
      <c r="F139" s="25"/>
    </row>
    <row r="140" spans="1:28" s="24" customFormat="1" ht="46.3" hidden="1" outlineLevel="1" x14ac:dyDescent="0.4">
      <c r="A140" s="26"/>
      <c r="B140" s="17" t="s">
        <v>144</v>
      </c>
      <c r="C140" s="81" t="s">
        <v>18</v>
      </c>
      <c r="D140" s="83">
        <v>2</v>
      </c>
      <c r="E140" s="67">
        <v>5.6000000000000001E-2</v>
      </c>
      <c r="F140" s="25"/>
    </row>
    <row r="141" spans="1:28" s="24" customFormat="1" ht="30" customHeight="1" collapsed="1" x14ac:dyDescent="0.4">
      <c r="A141" s="95">
        <f>A139+1</f>
        <v>60</v>
      </c>
      <c r="B141" s="19" t="s">
        <v>467</v>
      </c>
      <c r="C141" s="20" t="s">
        <v>18</v>
      </c>
      <c r="D141" s="77">
        <v>4</v>
      </c>
      <c r="E141" s="77"/>
      <c r="F141" s="25"/>
    </row>
    <row r="142" spans="1:28" s="24" customFormat="1" ht="46.3" hidden="1" outlineLevel="1" x14ac:dyDescent="0.4">
      <c r="A142" s="26"/>
      <c r="B142" s="17" t="s">
        <v>145</v>
      </c>
      <c r="C142" s="81" t="s">
        <v>18</v>
      </c>
      <c r="D142" s="83">
        <v>2</v>
      </c>
      <c r="E142" s="67">
        <v>6.2E-2</v>
      </c>
      <c r="F142" s="25"/>
    </row>
    <row r="143" spans="1:28" s="24" customFormat="1" ht="30.9" collapsed="1" x14ac:dyDescent="0.4">
      <c r="A143" s="95">
        <f>A141+1</f>
        <v>61</v>
      </c>
      <c r="B143" s="19" t="s">
        <v>424</v>
      </c>
      <c r="C143" s="20" t="s">
        <v>23</v>
      </c>
      <c r="D143" s="77">
        <v>4</v>
      </c>
      <c r="E143" s="70" t="s">
        <v>265</v>
      </c>
      <c r="F143" s="25"/>
    </row>
    <row r="144" spans="1:28" s="24" customFormat="1" ht="30" hidden="1" customHeight="1" outlineLevel="1" x14ac:dyDescent="0.4">
      <c r="A144" s="26"/>
      <c r="B144" s="17" t="s">
        <v>149</v>
      </c>
      <c r="C144" s="81" t="s">
        <v>16</v>
      </c>
      <c r="D144" s="67">
        <f>4*5.23*1.1/1000</f>
        <v>2.3012000000000005E-2</v>
      </c>
      <c r="E144" s="67"/>
      <c r="F144" s="25"/>
    </row>
    <row r="145" spans="1:6" s="24" customFormat="1" ht="30" hidden="1" customHeight="1" outlineLevel="1" x14ac:dyDescent="0.4">
      <c r="A145" s="26"/>
      <c r="B145" s="17" t="s">
        <v>126</v>
      </c>
      <c r="C145" s="81" t="s">
        <v>18</v>
      </c>
      <c r="D145" s="83">
        <v>4</v>
      </c>
      <c r="E145" s="67">
        <v>3.0000000000000001E-3</v>
      </c>
      <c r="F145" s="25"/>
    </row>
    <row r="146" spans="1:6" s="24" customFormat="1" ht="30" customHeight="1" collapsed="1" x14ac:dyDescent="0.4">
      <c r="A146" s="63">
        <f>A143+1</f>
        <v>62</v>
      </c>
      <c r="B146" s="19" t="s">
        <v>132</v>
      </c>
      <c r="C146" s="20" t="s">
        <v>21</v>
      </c>
      <c r="D146" s="77" t="s">
        <v>151</v>
      </c>
      <c r="E146" s="77"/>
      <c r="F146" s="25"/>
    </row>
    <row r="147" spans="1:6" s="24" customFormat="1" ht="30" hidden="1" customHeight="1" outlineLevel="1" x14ac:dyDescent="0.4">
      <c r="A147" s="26"/>
      <c r="B147" s="17" t="s">
        <v>150</v>
      </c>
      <c r="C147" s="81" t="s">
        <v>18</v>
      </c>
      <c r="D147" s="83">
        <v>2</v>
      </c>
      <c r="E147" s="67">
        <v>4.0000000000000001E-3</v>
      </c>
      <c r="F147" s="25"/>
    </row>
    <row r="148" spans="1:6" ht="36" customHeight="1" collapsed="1" x14ac:dyDescent="0.35">
      <c r="A148" s="63">
        <f>A146+1</f>
        <v>63</v>
      </c>
      <c r="B148" s="19" t="s">
        <v>34</v>
      </c>
      <c r="C148" s="15" t="s">
        <v>19</v>
      </c>
      <c r="D148" s="64">
        <f>0.7</f>
        <v>0.7</v>
      </c>
      <c r="E148" s="15"/>
      <c r="F148" s="47"/>
    </row>
    <row r="149" spans="1:6" ht="36" customHeight="1" x14ac:dyDescent="0.35">
      <c r="A149" s="63">
        <f>A148+1</f>
        <v>64</v>
      </c>
      <c r="B149" s="19" t="s">
        <v>51</v>
      </c>
      <c r="C149" s="15" t="s">
        <v>19</v>
      </c>
      <c r="D149" s="64">
        <f>0.7</f>
        <v>0.7</v>
      </c>
      <c r="E149" s="15"/>
      <c r="F149" s="47"/>
    </row>
    <row r="150" spans="1:6" ht="36" customHeight="1" x14ac:dyDescent="0.35">
      <c r="A150" s="63">
        <f>A149+1</f>
        <v>65</v>
      </c>
      <c r="B150" s="19" t="s">
        <v>52</v>
      </c>
      <c r="C150" s="15" t="s">
        <v>19</v>
      </c>
      <c r="D150" s="64">
        <f>0.7</f>
        <v>0.7</v>
      </c>
      <c r="E150" s="15"/>
      <c r="F150" s="47"/>
    </row>
    <row r="151" spans="1:6" s="24" customFormat="1" ht="30" customHeight="1" x14ac:dyDescent="0.4">
      <c r="A151" s="63">
        <f>A150+1</f>
        <v>66</v>
      </c>
      <c r="B151" s="19" t="s">
        <v>89</v>
      </c>
      <c r="C151" s="20" t="s">
        <v>19</v>
      </c>
      <c r="D151" s="64">
        <f>0.7</f>
        <v>0.7</v>
      </c>
      <c r="E151" s="77"/>
      <c r="F151" s="25"/>
    </row>
    <row r="152" spans="1:6" s="24" customFormat="1" ht="30" hidden="1" customHeight="1" outlineLevel="1" x14ac:dyDescent="0.4">
      <c r="A152" s="26"/>
      <c r="B152" s="17" t="s">
        <v>88</v>
      </c>
      <c r="C152" s="81" t="s">
        <v>25</v>
      </c>
      <c r="D152" s="82">
        <f>0.7*0.36</f>
        <v>0.252</v>
      </c>
      <c r="E152" s="81">
        <v>7.0000000000000001E-3</v>
      </c>
      <c r="F152" s="25"/>
    </row>
    <row r="153" spans="1:6" ht="36" customHeight="1" collapsed="1" x14ac:dyDescent="0.35">
      <c r="A153" s="63">
        <f>A151+1</f>
        <v>67</v>
      </c>
      <c r="B153" s="19" t="s">
        <v>113</v>
      </c>
      <c r="C153" s="15" t="s">
        <v>18</v>
      </c>
      <c r="D153" s="78">
        <v>1</v>
      </c>
      <c r="E153" s="15"/>
      <c r="F153" s="47"/>
    </row>
    <row r="154" spans="1:6" s="24" customFormat="1" ht="30" hidden="1" customHeight="1" outlineLevel="1" x14ac:dyDescent="0.4">
      <c r="A154" s="26"/>
      <c r="B154" s="17" t="s">
        <v>114</v>
      </c>
      <c r="C154" s="81" t="s">
        <v>18</v>
      </c>
      <c r="D154" s="83">
        <v>1</v>
      </c>
      <c r="E154" s="81">
        <v>2.85</v>
      </c>
      <c r="F154" s="25"/>
    </row>
    <row r="155" spans="1:6" s="24" customFormat="1" ht="30" customHeight="1" collapsed="1" x14ac:dyDescent="0.4">
      <c r="A155" s="63">
        <f>A153+1</f>
        <v>68</v>
      </c>
      <c r="B155" s="19" t="s">
        <v>115</v>
      </c>
      <c r="C155" s="20" t="s">
        <v>18</v>
      </c>
      <c r="D155" s="78">
        <v>1</v>
      </c>
      <c r="E155" s="77"/>
      <c r="F155" s="25"/>
    </row>
    <row r="156" spans="1:6" s="24" customFormat="1" ht="30" customHeight="1" x14ac:dyDescent="0.4">
      <c r="A156" s="63">
        <f>A155+1</f>
        <v>69</v>
      </c>
      <c r="B156" s="19" t="s">
        <v>116</v>
      </c>
      <c r="C156" s="20" t="s">
        <v>18</v>
      </c>
      <c r="D156" s="78">
        <v>1</v>
      </c>
      <c r="E156" s="77"/>
      <c r="F156" s="25"/>
    </row>
    <row r="157" spans="1:6" s="24" customFormat="1" ht="30" customHeight="1" x14ac:dyDescent="0.4">
      <c r="A157" s="63">
        <f>A156+1</f>
        <v>70</v>
      </c>
      <c r="B157" s="19" t="s">
        <v>117</v>
      </c>
      <c r="C157" s="20" t="s">
        <v>18</v>
      </c>
      <c r="D157" s="78">
        <v>1</v>
      </c>
      <c r="E157" s="77"/>
      <c r="F157" s="25"/>
    </row>
    <row r="158" spans="1:6" s="24" customFormat="1" ht="30" customHeight="1" x14ac:dyDescent="0.4">
      <c r="A158" s="63">
        <f>A157+1</f>
        <v>71</v>
      </c>
      <c r="B158" s="19" t="s">
        <v>118</v>
      </c>
      <c r="C158" s="20" t="s">
        <v>18</v>
      </c>
      <c r="D158" s="78">
        <v>2</v>
      </c>
      <c r="E158" s="77"/>
      <c r="F158" s="25"/>
    </row>
    <row r="159" spans="1:6" s="24" customFormat="1" ht="30" customHeight="1" x14ac:dyDescent="0.4">
      <c r="A159" s="63">
        <f>A158+1</f>
        <v>72</v>
      </c>
      <c r="B159" s="19" t="s">
        <v>119</v>
      </c>
      <c r="C159" s="20" t="s">
        <v>18</v>
      </c>
      <c r="D159" s="78">
        <v>2</v>
      </c>
      <c r="E159" s="77"/>
      <c r="F159" s="25"/>
    </row>
    <row r="160" spans="1:6" s="24" customFormat="1" ht="30" customHeight="1" x14ac:dyDescent="0.4">
      <c r="A160" s="63">
        <f>A159+1</f>
        <v>73</v>
      </c>
      <c r="B160" s="19" t="s">
        <v>121</v>
      </c>
      <c r="C160" s="20" t="s">
        <v>18</v>
      </c>
      <c r="D160" s="78">
        <v>1</v>
      </c>
      <c r="E160" s="77"/>
      <c r="F160" s="25"/>
    </row>
    <row r="161" spans="1:6" s="24" customFormat="1" ht="30" hidden="1" customHeight="1" outlineLevel="1" x14ac:dyDescent="0.4">
      <c r="A161" s="26"/>
      <c r="B161" s="17" t="s">
        <v>120</v>
      </c>
      <c r="C161" s="81" t="s">
        <v>18</v>
      </c>
      <c r="D161" s="83">
        <v>1</v>
      </c>
      <c r="E161" s="81"/>
      <c r="F161" s="25"/>
    </row>
    <row r="162" spans="1:6" s="24" customFormat="1" ht="30" customHeight="1" collapsed="1" x14ac:dyDescent="0.4">
      <c r="A162" s="63">
        <f>A160+1</f>
        <v>74</v>
      </c>
      <c r="B162" s="19" t="s">
        <v>122</v>
      </c>
      <c r="C162" s="20" t="s">
        <v>18</v>
      </c>
      <c r="D162" s="77">
        <v>5</v>
      </c>
      <c r="E162" s="77"/>
      <c r="F162" s="25"/>
    </row>
    <row r="163" spans="1:6" s="24" customFormat="1" ht="30" customHeight="1" x14ac:dyDescent="0.4">
      <c r="A163" s="63">
        <f>A162+1</f>
        <v>75</v>
      </c>
      <c r="B163" s="19" t="s">
        <v>468</v>
      </c>
      <c r="C163" s="20" t="s">
        <v>18</v>
      </c>
      <c r="D163" s="77">
        <v>3</v>
      </c>
      <c r="E163" s="77"/>
      <c r="F163" s="25"/>
    </row>
    <row r="164" spans="1:6" s="24" customFormat="1" ht="46.3" hidden="1" outlineLevel="1" x14ac:dyDescent="0.4">
      <c r="A164" s="26"/>
      <c r="B164" s="17" t="s">
        <v>123</v>
      </c>
      <c r="C164" s="81" t="s">
        <v>18</v>
      </c>
      <c r="D164" s="83">
        <v>2</v>
      </c>
      <c r="E164" s="67">
        <v>0.106</v>
      </c>
      <c r="F164" s="25"/>
    </row>
    <row r="165" spans="1:6" s="24" customFormat="1" ht="46.3" hidden="1" outlineLevel="1" x14ac:dyDescent="0.4">
      <c r="A165" s="26"/>
      <c r="B165" s="17" t="s">
        <v>124</v>
      </c>
      <c r="C165" s="81" t="s">
        <v>18</v>
      </c>
      <c r="D165" s="83">
        <v>1</v>
      </c>
      <c r="E165" s="67">
        <v>5.2999999999999999E-2</v>
      </c>
      <c r="F165" s="25"/>
    </row>
    <row r="166" spans="1:6" s="24" customFormat="1" ht="30.9" collapsed="1" x14ac:dyDescent="0.4">
      <c r="A166" s="63">
        <f>A163+1</f>
        <v>76</v>
      </c>
      <c r="B166" s="19" t="s">
        <v>435</v>
      </c>
      <c r="C166" s="20" t="s">
        <v>23</v>
      </c>
      <c r="D166" s="77">
        <v>2.6</v>
      </c>
      <c r="E166" s="70" t="s">
        <v>265</v>
      </c>
      <c r="F166" s="25"/>
    </row>
    <row r="167" spans="1:6" s="24" customFormat="1" ht="30" hidden="1" customHeight="1" outlineLevel="1" x14ac:dyDescent="0.4">
      <c r="A167" s="26"/>
      <c r="B167" s="17" t="s">
        <v>146</v>
      </c>
      <c r="C167" s="81" t="s">
        <v>16</v>
      </c>
      <c r="D167" s="67">
        <f>2.6*12.28*1.1/1000</f>
        <v>3.5120800000000001E-2</v>
      </c>
      <c r="E167" s="67"/>
      <c r="F167" s="25"/>
    </row>
    <row r="168" spans="1:6" s="24" customFormat="1" ht="30" hidden="1" customHeight="1" outlineLevel="1" x14ac:dyDescent="0.4">
      <c r="A168" s="26"/>
      <c r="B168" s="17" t="s">
        <v>127</v>
      </c>
      <c r="C168" s="81" t="s">
        <v>18</v>
      </c>
      <c r="D168" s="83">
        <v>1</v>
      </c>
      <c r="E168" s="67">
        <v>2E-3</v>
      </c>
      <c r="F168" s="25"/>
    </row>
    <row r="169" spans="1:6" s="24" customFormat="1" ht="30" hidden="1" customHeight="1" outlineLevel="1" x14ac:dyDescent="0.4">
      <c r="A169" s="26"/>
      <c r="B169" s="17" t="s">
        <v>129</v>
      </c>
      <c r="C169" s="81" t="s">
        <v>18</v>
      </c>
      <c r="D169" s="83">
        <v>1</v>
      </c>
      <c r="E169" s="67">
        <v>1E-3</v>
      </c>
      <c r="F169" s="25"/>
    </row>
    <row r="170" spans="1:6" s="24" customFormat="1" ht="30" hidden="1" customHeight="1" outlineLevel="1" x14ac:dyDescent="0.4">
      <c r="A170" s="26"/>
      <c r="B170" s="17" t="s">
        <v>136</v>
      </c>
      <c r="C170" s="81" t="s">
        <v>18</v>
      </c>
      <c r="D170" s="83">
        <v>1</v>
      </c>
      <c r="E170" s="67">
        <v>5.0000000000000001E-3</v>
      </c>
      <c r="F170" s="25"/>
    </row>
    <row r="171" spans="1:6" s="24" customFormat="1" ht="30.9" collapsed="1" x14ac:dyDescent="0.4">
      <c r="A171" s="63">
        <f>A166+1</f>
        <v>77</v>
      </c>
      <c r="B171" s="19" t="s">
        <v>436</v>
      </c>
      <c r="C171" s="20" t="s">
        <v>23</v>
      </c>
      <c r="D171" s="77">
        <v>3.6</v>
      </c>
      <c r="E171" s="70" t="s">
        <v>265</v>
      </c>
      <c r="F171" s="25"/>
    </row>
    <row r="172" spans="1:6" s="24" customFormat="1" ht="30" hidden="1" customHeight="1" outlineLevel="1" x14ac:dyDescent="0.4">
      <c r="A172" s="26"/>
      <c r="B172" s="17" t="s">
        <v>147</v>
      </c>
      <c r="C172" s="81" t="s">
        <v>16</v>
      </c>
      <c r="D172" s="67">
        <f>3.6*15.98*1.1/1000</f>
        <v>6.3280800000000012E-2</v>
      </c>
      <c r="E172" s="67"/>
      <c r="F172" s="25"/>
    </row>
    <row r="173" spans="1:6" s="24" customFormat="1" ht="30" hidden="1" customHeight="1" outlineLevel="1" x14ac:dyDescent="0.4">
      <c r="A173" s="26"/>
      <c r="B173" s="17" t="s">
        <v>128</v>
      </c>
      <c r="C173" s="81" t="s">
        <v>18</v>
      </c>
      <c r="D173" s="83">
        <v>3</v>
      </c>
      <c r="E173" s="67">
        <v>1.2E-2</v>
      </c>
      <c r="F173" s="25"/>
    </row>
    <row r="174" spans="1:6" s="24" customFormat="1" ht="30.9" collapsed="1" x14ac:dyDescent="0.4">
      <c r="A174" s="63">
        <f>A171+1</f>
        <v>78</v>
      </c>
      <c r="B174" s="19" t="s">
        <v>125</v>
      </c>
      <c r="C174" s="20" t="s">
        <v>23</v>
      </c>
      <c r="D174" s="77">
        <v>5.4</v>
      </c>
      <c r="E174" s="70" t="s">
        <v>265</v>
      </c>
      <c r="F174" s="25"/>
    </row>
    <row r="175" spans="1:6" s="24" customFormat="1" ht="30.9" hidden="1" outlineLevel="1" x14ac:dyDescent="0.4">
      <c r="A175" s="26"/>
      <c r="B175" s="17" t="s">
        <v>148</v>
      </c>
      <c r="C175" s="81" t="s">
        <v>16</v>
      </c>
      <c r="D175" s="67">
        <f>5.4*5.23*1.1/1000</f>
        <v>3.1066200000000009E-2</v>
      </c>
      <c r="E175" s="67"/>
      <c r="F175" s="25"/>
    </row>
    <row r="176" spans="1:6" s="24" customFormat="1" ht="30" hidden="1" customHeight="1" outlineLevel="1" x14ac:dyDescent="0.4">
      <c r="A176" s="26"/>
      <c r="B176" s="17" t="s">
        <v>126</v>
      </c>
      <c r="C176" s="81" t="s">
        <v>18</v>
      </c>
      <c r="D176" s="83">
        <v>2</v>
      </c>
      <c r="E176" s="67">
        <v>1E-3</v>
      </c>
      <c r="F176" s="25"/>
    </row>
    <row r="177" spans="1:6" s="24" customFormat="1" ht="30" hidden="1" customHeight="1" outlineLevel="1" x14ac:dyDescent="0.4">
      <c r="A177" s="26"/>
      <c r="B177" s="17" t="s">
        <v>130</v>
      </c>
      <c r="C177" s="81" t="s">
        <v>18</v>
      </c>
      <c r="D177" s="83">
        <v>1</v>
      </c>
      <c r="E177" s="67">
        <v>3.0000000000000001E-3</v>
      </c>
      <c r="F177" s="25"/>
    </row>
    <row r="178" spans="1:6" s="24" customFormat="1" ht="30" hidden="1" customHeight="1" outlineLevel="1" x14ac:dyDescent="0.4">
      <c r="A178" s="26"/>
      <c r="B178" s="17" t="s">
        <v>131</v>
      </c>
      <c r="C178" s="81" t="s">
        <v>18</v>
      </c>
      <c r="D178" s="83">
        <v>1</v>
      </c>
      <c r="E178" s="67">
        <v>5.0000000000000001E-3</v>
      </c>
      <c r="F178" s="25"/>
    </row>
    <row r="179" spans="1:6" s="24" customFormat="1" ht="30" customHeight="1" collapsed="1" x14ac:dyDescent="0.4">
      <c r="A179" s="63">
        <f>A174+1</f>
        <v>79</v>
      </c>
      <c r="B179" s="19" t="s">
        <v>132</v>
      </c>
      <c r="C179" s="20" t="s">
        <v>21</v>
      </c>
      <c r="D179" s="77" t="s">
        <v>135</v>
      </c>
      <c r="E179" s="77"/>
      <c r="F179" s="25"/>
    </row>
    <row r="180" spans="1:6" s="24" customFormat="1" ht="30" hidden="1" customHeight="1" outlineLevel="1" x14ac:dyDescent="0.4">
      <c r="A180" s="26"/>
      <c r="B180" s="17" t="s">
        <v>133</v>
      </c>
      <c r="C180" s="81" t="s">
        <v>18</v>
      </c>
      <c r="D180" s="83">
        <v>2</v>
      </c>
      <c r="E180" s="67">
        <v>4.0000000000000001E-3</v>
      </c>
      <c r="F180" s="25"/>
    </row>
    <row r="181" spans="1:6" s="24" customFormat="1" ht="30" hidden="1" customHeight="1" outlineLevel="1" x14ac:dyDescent="0.4">
      <c r="A181" s="26"/>
      <c r="B181" s="17" t="s">
        <v>134</v>
      </c>
      <c r="C181" s="81" t="s">
        <v>18</v>
      </c>
      <c r="D181" s="83">
        <v>2</v>
      </c>
      <c r="E181" s="67">
        <v>2E-3</v>
      </c>
      <c r="F181" s="25"/>
    </row>
    <row r="182" spans="1:6" s="24" customFormat="1" ht="30" customHeight="1" collapsed="1" x14ac:dyDescent="0.4">
      <c r="A182" s="63">
        <f>A179+1</f>
        <v>80</v>
      </c>
      <c r="B182" s="19" t="s">
        <v>137</v>
      </c>
      <c r="C182" s="20" t="s">
        <v>18</v>
      </c>
      <c r="D182" s="77">
        <v>2</v>
      </c>
      <c r="E182" s="77"/>
      <c r="F182" s="25"/>
    </row>
    <row r="183" spans="1:6" s="24" customFormat="1" ht="30" hidden="1" customHeight="1" outlineLevel="1" x14ac:dyDescent="0.4">
      <c r="A183" s="26"/>
      <c r="B183" s="17" t="s">
        <v>138</v>
      </c>
      <c r="C183" s="81" t="s">
        <v>45</v>
      </c>
      <c r="D183" s="83">
        <v>2</v>
      </c>
      <c r="E183" s="67"/>
      <c r="F183" s="25"/>
    </row>
    <row r="184" spans="1:6" ht="36" customHeight="1" collapsed="1" x14ac:dyDescent="0.35">
      <c r="A184" s="63">
        <f>A182+1</f>
        <v>81</v>
      </c>
      <c r="B184" s="19" t="s">
        <v>34</v>
      </c>
      <c r="C184" s="15" t="s">
        <v>19</v>
      </c>
      <c r="D184" s="23">
        <v>2.02</v>
      </c>
      <c r="E184" s="15"/>
      <c r="F184" s="47"/>
    </row>
    <row r="185" spans="1:6" ht="36" customHeight="1" x14ac:dyDescent="0.35">
      <c r="A185" s="63">
        <f>A184+1</f>
        <v>82</v>
      </c>
      <c r="B185" s="19" t="s">
        <v>51</v>
      </c>
      <c r="C185" s="15" t="s">
        <v>19</v>
      </c>
      <c r="D185" s="23">
        <v>2.02</v>
      </c>
      <c r="E185" s="15"/>
      <c r="F185" s="47"/>
    </row>
    <row r="186" spans="1:6" ht="36" customHeight="1" x14ac:dyDescent="0.35">
      <c r="A186" s="63">
        <f>A185+1</f>
        <v>83</v>
      </c>
      <c r="B186" s="19" t="s">
        <v>52</v>
      </c>
      <c r="C186" s="15" t="s">
        <v>19</v>
      </c>
      <c r="D186" s="23">
        <v>2.02</v>
      </c>
      <c r="E186" s="15"/>
      <c r="F186" s="47"/>
    </row>
    <row r="187" spans="1:6" s="24" customFormat="1" ht="30" customHeight="1" x14ac:dyDescent="0.4">
      <c r="A187" s="63">
        <f>A186+1</f>
        <v>84</v>
      </c>
      <c r="B187" s="19" t="s">
        <v>89</v>
      </c>
      <c r="C187" s="20" t="s">
        <v>19</v>
      </c>
      <c r="D187" s="23">
        <v>2.02</v>
      </c>
      <c r="E187" s="77"/>
      <c r="F187" s="25"/>
    </row>
    <row r="188" spans="1:6" s="24" customFormat="1" ht="30" hidden="1" customHeight="1" outlineLevel="1" x14ac:dyDescent="0.4">
      <c r="A188" s="26"/>
      <c r="B188" s="17" t="s">
        <v>88</v>
      </c>
      <c r="C188" s="81" t="s">
        <v>25</v>
      </c>
      <c r="D188" s="82">
        <f>2.02*0.36</f>
        <v>0.72719999999999996</v>
      </c>
      <c r="E188" s="81">
        <v>7.0000000000000001E-3</v>
      </c>
      <c r="F188" s="25"/>
    </row>
    <row r="189" spans="1:6" s="24" customFormat="1" ht="30" customHeight="1" collapsed="1" x14ac:dyDescent="0.4">
      <c r="A189" s="63">
        <f>A187+1</f>
        <v>85</v>
      </c>
      <c r="B189" s="19" t="s">
        <v>139</v>
      </c>
      <c r="C189" s="20" t="s">
        <v>56</v>
      </c>
      <c r="D189" s="77">
        <v>4</v>
      </c>
      <c r="E189" s="77"/>
      <c r="F189" s="25"/>
    </row>
    <row r="190" spans="1:6" s="24" customFormat="1" ht="30" hidden="1" customHeight="1" outlineLevel="1" x14ac:dyDescent="0.4">
      <c r="A190" s="26"/>
      <c r="B190" s="17" t="s">
        <v>140</v>
      </c>
      <c r="C190" s="81" t="s">
        <v>45</v>
      </c>
      <c r="D190" s="83">
        <v>4</v>
      </c>
      <c r="E190" s="67"/>
      <c r="F190" s="25"/>
    </row>
    <row r="191" spans="1:6" ht="31" customHeight="1" collapsed="1" x14ac:dyDescent="0.35">
      <c r="A191" s="63">
        <f>A189+1</f>
        <v>86</v>
      </c>
      <c r="B191" s="14" t="s">
        <v>425</v>
      </c>
      <c r="C191" s="21" t="s">
        <v>31</v>
      </c>
      <c r="D191" s="15" t="s">
        <v>429</v>
      </c>
      <c r="E191" s="15"/>
      <c r="F191" s="47"/>
    </row>
    <row r="192" spans="1:6" ht="30" hidden="1" customHeight="1" outlineLevel="1" x14ac:dyDescent="0.35">
      <c r="A192" s="16"/>
      <c r="B192" s="17" t="s">
        <v>426</v>
      </c>
      <c r="C192" s="81" t="s">
        <v>18</v>
      </c>
      <c r="D192" s="83">
        <v>12</v>
      </c>
      <c r="E192" s="18"/>
      <c r="F192" s="47"/>
    </row>
    <row r="193" spans="1:6" ht="30" hidden="1" customHeight="1" outlineLevel="1" x14ac:dyDescent="0.35">
      <c r="A193" s="16"/>
      <c r="B193" s="17" t="s">
        <v>427</v>
      </c>
      <c r="C193" s="81" t="s">
        <v>18</v>
      </c>
      <c r="D193" s="83">
        <v>72</v>
      </c>
      <c r="E193" s="18"/>
      <c r="F193" s="47"/>
    </row>
    <row r="194" spans="1:6" ht="31" customHeight="1" collapsed="1" x14ac:dyDescent="0.35">
      <c r="A194" s="63">
        <f>A191+1</f>
        <v>87</v>
      </c>
      <c r="B194" s="14" t="s">
        <v>42</v>
      </c>
      <c r="C194" s="21" t="s">
        <v>31</v>
      </c>
      <c r="D194" s="15" t="s">
        <v>428</v>
      </c>
      <c r="E194" s="15"/>
      <c r="F194" s="47"/>
    </row>
    <row r="195" spans="1:6" ht="30" hidden="1" customHeight="1" outlineLevel="1" x14ac:dyDescent="0.35">
      <c r="A195" s="16"/>
      <c r="B195" s="17" t="s">
        <v>270</v>
      </c>
      <c r="C195" s="81" t="s">
        <v>18</v>
      </c>
      <c r="D195" s="83">
        <v>4</v>
      </c>
      <c r="E195" s="18"/>
      <c r="F195" s="47"/>
    </row>
    <row r="196" spans="1:6" ht="30" hidden="1" customHeight="1" outlineLevel="1" x14ac:dyDescent="0.35">
      <c r="A196" s="16"/>
      <c r="B196" s="17" t="s">
        <v>271</v>
      </c>
      <c r="C196" s="81" t="s">
        <v>18</v>
      </c>
      <c r="D196" s="83">
        <v>24</v>
      </c>
      <c r="E196" s="18"/>
      <c r="F196" s="47"/>
    </row>
    <row r="197" spans="1:6" ht="31" customHeight="1" collapsed="1" x14ac:dyDescent="0.35">
      <c r="A197" s="63">
        <f>A194+1</f>
        <v>88</v>
      </c>
      <c r="B197" s="14" t="s">
        <v>44</v>
      </c>
      <c r="C197" s="21" t="s">
        <v>31</v>
      </c>
      <c r="D197" s="15" t="s">
        <v>430</v>
      </c>
      <c r="E197" s="15"/>
      <c r="F197" s="47"/>
    </row>
    <row r="198" spans="1:6" ht="30" hidden="1" customHeight="1" outlineLevel="1" x14ac:dyDescent="0.35">
      <c r="A198" s="16"/>
      <c r="B198" s="17" t="s">
        <v>272</v>
      </c>
      <c r="C198" s="81" t="s">
        <v>18</v>
      </c>
      <c r="D198" s="83">
        <v>3</v>
      </c>
      <c r="E198" s="18"/>
      <c r="F198" s="47"/>
    </row>
    <row r="199" spans="1:6" ht="30" hidden="1" customHeight="1" outlineLevel="1" x14ac:dyDescent="0.35">
      <c r="A199" s="16"/>
      <c r="B199" s="17" t="s">
        <v>273</v>
      </c>
      <c r="C199" s="81" t="s">
        <v>18</v>
      </c>
      <c r="D199" s="83">
        <v>18</v>
      </c>
      <c r="E199" s="18"/>
      <c r="F199" s="47"/>
    </row>
    <row r="200" spans="1:6" ht="31" customHeight="1" collapsed="1" x14ac:dyDescent="0.35">
      <c r="A200" s="63">
        <f>A197+1</f>
        <v>89</v>
      </c>
      <c r="B200" s="14" t="s">
        <v>29</v>
      </c>
      <c r="C200" s="21" t="s">
        <v>31</v>
      </c>
      <c r="D200" s="15" t="s">
        <v>433</v>
      </c>
      <c r="E200" s="15"/>
      <c r="F200" s="47"/>
    </row>
    <row r="201" spans="1:6" ht="30" hidden="1" customHeight="1" outlineLevel="1" x14ac:dyDescent="0.35">
      <c r="A201" s="16"/>
      <c r="B201" s="17" t="s">
        <v>431</v>
      </c>
      <c r="C201" s="81" t="s">
        <v>18</v>
      </c>
      <c r="D201" s="83">
        <v>3</v>
      </c>
      <c r="E201" s="18"/>
      <c r="F201" s="47"/>
    </row>
    <row r="202" spans="1:6" ht="30" hidden="1" customHeight="1" outlineLevel="1" x14ac:dyDescent="0.35">
      <c r="A202" s="16"/>
      <c r="B202" s="17" t="s">
        <v>432</v>
      </c>
      <c r="C202" s="81" t="s">
        <v>18</v>
      </c>
      <c r="D202" s="83">
        <v>18</v>
      </c>
      <c r="E202" s="18"/>
      <c r="F202" s="47"/>
    </row>
    <row r="203" spans="1:6" ht="30" customHeight="1" collapsed="1" x14ac:dyDescent="0.35">
      <c r="A203" s="63">
        <f>A200+1</f>
        <v>90</v>
      </c>
      <c r="B203" s="19" t="s">
        <v>277</v>
      </c>
      <c r="C203" s="20" t="s">
        <v>32</v>
      </c>
      <c r="D203" s="77" t="s">
        <v>434</v>
      </c>
      <c r="E203" s="77"/>
      <c r="F203" s="47"/>
    </row>
    <row r="204" spans="1:6" ht="30" hidden="1" customHeight="1" outlineLevel="1" x14ac:dyDescent="0.35">
      <c r="A204" s="16"/>
      <c r="B204" s="17" t="s">
        <v>274</v>
      </c>
      <c r="C204" s="81" t="s">
        <v>18</v>
      </c>
      <c r="D204" s="81">
        <v>4</v>
      </c>
      <c r="E204" s="18"/>
      <c r="F204" s="47"/>
    </row>
    <row r="205" spans="1:6" ht="30" customHeight="1" collapsed="1" x14ac:dyDescent="0.35">
      <c r="A205" s="63">
        <f>A203+1</f>
        <v>91</v>
      </c>
      <c r="B205" s="19" t="s">
        <v>43</v>
      </c>
      <c r="C205" s="20" t="s">
        <v>32</v>
      </c>
      <c r="D205" s="77" t="s">
        <v>41</v>
      </c>
      <c r="E205" s="77"/>
      <c r="F205" s="47"/>
    </row>
    <row r="206" spans="1:6" ht="30" hidden="1" customHeight="1" outlineLevel="1" x14ac:dyDescent="0.35">
      <c r="A206" s="16"/>
      <c r="B206" s="17" t="s">
        <v>276</v>
      </c>
      <c r="C206" s="81" t="s">
        <v>18</v>
      </c>
      <c r="D206" s="81">
        <v>1</v>
      </c>
      <c r="E206" s="18"/>
      <c r="F206" s="47"/>
    </row>
    <row r="207" spans="1:6" ht="30" customHeight="1" collapsed="1" x14ac:dyDescent="0.35">
      <c r="A207" s="63">
        <f>A205+1</f>
        <v>92</v>
      </c>
      <c r="B207" s="19" t="s">
        <v>33</v>
      </c>
      <c r="C207" s="20" t="s">
        <v>32</v>
      </c>
      <c r="D207" s="77" t="s">
        <v>437</v>
      </c>
      <c r="E207" s="77"/>
      <c r="F207" s="47"/>
    </row>
    <row r="208" spans="1:6" ht="30" hidden="1" customHeight="1" outlineLevel="1" x14ac:dyDescent="0.35">
      <c r="A208" s="16"/>
      <c r="B208" s="17" t="s">
        <v>370</v>
      </c>
      <c r="C208" s="81" t="s">
        <v>18</v>
      </c>
      <c r="D208" s="81">
        <v>3</v>
      </c>
      <c r="E208" s="18"/>
      <c r="F208" s="47"/>
    </row>
    <row r="209" spans="1:28" ht="30" customHeight="1" collapsed="1" x14ac:dyDescent="0.35">
      <c r="A209" s="63">
        <f>A207+1</f>
        <v>93</v>
      </c>
      <c r="B209" s="19" t="s">
        <v>438</v>
      </c>
      <c r="C209" s="20" t="s">
        <v>32</v>
      </c>
      <c r="D209" s="77" t="s">
        <v>441</v>
      </c>
      <c r="E209" s="77"/>
      <c r="F209" s="47"/>
    </row>
    <row r="210" spans="1:28" ht="30" hidden="1" customHeight="1" outlineLevel="1" x14ac:dyDescent="0.35">
      <c r="A210" s="16"/>
      <c r="B210" s="17" t="s">
        <v>439</v>
      </c>
      <c r="C210" s="81" t="s">
        <v>18</v>
      </c>
      <c r="D210" s="81">
        <v>2</v>
      </c>
      <c r="E210" s="18"/>
      <c r="F210" s="47"/>
    </row>
    <row r="211" spans="1:28" ht="30" hidden="1" customHeight="1" outlineLevel="1" x14ac:dyDescent="0.35">
      <c r="A211" s="16"/>
      <c r="B211" s="17" t="s">
        <v>440</v>
      </c>
      <c r="C211" s="81" t="s">
        <v>18</v>
      </c>
      <c r="D211" s="81">
        <v>2</v>
      </c>
      <c r="E211" s="18"/>
      <c r="F211" s="47"/>
    </row>
    <row r="212" spans="1:28" ht="30" customHeight="1" collapsed="1" x14ac:dyDescent="0.35">
      <c r="A212" s="63">
        <f>A209+1</f>
        <v>94</v>
      </c>
      <c r="B212" s="19" t="s">
        <v>280</v>
      </c>
      <c r="C212" s="20" t="s">
        <v>18</v>
      </c>
      <c r="D212" s="77">
        <v>7</v>
      </c>
      <c r="E212" s="77"/>
      <c r="F212" s="47"/>
    </row>
    <row r="213" spans="1:28" ht="30" hidden="1" customHeight="1" outlineLevel="1" x14ac:dyDescent="0.35">
      <c r="A213" s="16"/>
      <c r="B213" s="17" t="s">
        <v>279</v>
      </c>
      <c r="C213" s="81" t="s">
        <v>18</v>
      </c>
      <c r="D213" s="18">
        <v>4</v>
      </c>
      <c r="E213" s="18"/>
      <c r="F213" s="47"/>
    </row>
    <row r="214" spans="1:28" ht="30" hidden="1" customHeight="1" outlineLevel="1" x14ac:dyDescent="0.35">
      <c r="A214" s="16"/>
      <c r="B214" s="17" t="s">
        <v>281</v>
      </c>
      <c r="C214" s="81" t="s">
        <v>18</v>
      </c>
      <c r="D214" s="18">
        <v>3</v>
      </c>
      <c r="E214" s="18"/>
      <c r="F214" s="47"/>
    </row>
    <row r="215" spans="1:28" s="46" customFormat="1" ht="21" customHeight="1" collapsed="1" x14ac:dyDescent="0.35">
      <c r="A215" s="115" t="s">
        <v>411</v>
      </c>
      <c r="B215" s="115"/>
      <c r="C215" s="115"/>
      <c r="D215" s="115"/>
      <c r="E215" s="115"/>
      <c r="F215" s="41"/>
      <c r="G215" s="42"/>
      <c r="H215" s="43"/>
      <c r="I215" s="44"/>
      <c r="J215" s="44"/>
      <c r="K215" s="45"/>
      <c r="L215" s="45"/>
      <c r="M215" s="45"/>
      <c r="N215" s="43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</row>
    <row r="216" spans="1:28" s="24" customFormat="1" ht="30" customHeight="1" x14ac:dyDescent="0.4">
      <c r="A216" s="63">
        <f>A212+1</f>
        <v>95</v>
      </c>
      <c r="B216" s="19" t="s">
        <v>152</v>
      </c>
      <c r="C216" s="20" t="s">
        <v>23</v>
      </c>
      <c r="D216" s="77">
        <v>55</v>
      </c>
      <c r="E216" s="77"/>
      <c r="F216" s="25"/>
    </row>
    <row r="217" spans="1:28" s="24" customFormat="1" ht="30" hidden="1" customHeight="1" outlineLevel="1" x14ac:dyDescent="0.4">
      <c r="A217" s="26"/>
      <c r="B217" s="17" t="s">
        <v>153</v>
      </c>
      <c r="C217" s="81" t="s">
        <v>16</v>
      </c>
      <c r="D217" s="67">
        <f>55*1.26/1000</f>
        <v>6.93E-2</v>
      </c>
      <c r="E217" s="67"/>
      <c r="F217" s="25"/>
    </row>
    <row r="218" spans="1:28" ht="36" customHeight="1" collapsed="1" x14ac:dyDescent="0.35">
      <c r="A218" s="63">
        <f>A216+1</f>
        <v>96</v>
      </c>
      <c r="B218" s="19" t="s">
        <v>154</v>
      </c>
      <c r="C218" s="15" t="s">
        <v>18</v>
      </c>
      <c r="D218" s="78">
        <v>4</v>
      </c>
      <c r="E218" s="15"/>
      <c r="F218" s="47"/>
    </row>
    <row r="219" spans="1:28" s="24" customFormat="1" ht="30" hidden="1" customHeight="1" outlineLevel="1" x14ac:dyDescent="0.4">
      <c r="A219" s="26"/>
      <c r="B219" s="17" t="s">
        <v>155</v>
      </c>
      <c r="C219" s="81" t="s">
        <v>16</v>
      </c>
      <c r="D219" s="67">
        <f>20*1.58/1000</f>
        <v>3.1600000000000003E-2</v>
      </c>
      <c r="E219" s="67"/>
      <c r="F219" s="25"/>
    </row>
    <row r="220" spans="1:28" ht="36" customHeight="1" collapsed="1" x14ac:dyDescent="0.35">
      <c r="A220" s="63">
        <f>A218+1</f>
        <v>97</v>
      </c>
      <c r="B220" s="19" t="s">
        <v>35</v>
      </c>
      <c r="C220" s="15" t="s">
        <v>23</v>
      </c>
      <c r="D220" s="64">
        <v>10</v>
      </c>
      <c r="E220" s="15"/>
      <c r="F220" s="47"/>
    </row>
    <row r="221" spans="1:28" s="24" customFormat="1" ht="30" hidden="1" customHeight="1" outlineLevel="1" x14ac:dyDescent="0.4">
      <c r="A221" s="26"/>
      <c r="B221" s="17" t="s">
        <v>156</v>
      </c>
      <c r="C221" s="81" t="s">
        <v>23</v>
      </c>
      <c r="D221" s="83">
        <v>10</v>
      </c>
      <c r="E221" s="67"/>
      <c r="F221" s="25"/>
    </row>
    <row r="222" spans="1:28" s="24" customFormat="1" ht="30" hidden="1" customHeight="1" outlineLevel="1" x14ac:dyDescent="0.4">
      <c r="A222" s="26"/>
      <c r="B222" s="17" t="s">
        <v>157</v>
      </c>
      <c r="C222" s="81" t="s">
        <v>18</v>
      </c>
      <c r="D222" s="83">
        <v>20</v>
      </c>
      <c r="E222" s="67"/>
      <c r="F222" s="25"/>
    </row>
    <row r="223" spans="1:28" s="24" customFormat="1" ht="30" hidden="1" customHeight="1" outlineLevel="1" x14ac:dyDescent="0.4">
      <c r="A223" s="26"/>
      <c r="B223" s="17" t="s">
        <v>158</v>
      </c>
      <c r="C223" s="81" t="s">
        <v>18</v>
      </c>
      <c r="D223" s="83">
        <v>20</v>
      </c>
      <c r="E223" s="67"/>
      <c r="F223" s="25"/>
    </row>
    <row r="224" spans="1:28" s="24" customFormat="1" ht="30" hidden="1" customHeight="1" outlineLevel="1" x14ac:dyDescent="0.4">
      <c r="A224" s="26"/>
      <c r="B224" s="17" t="s">
        <v>159</v>
      </c>
      <c r="C224" s="81" t="s">
        <v>18</v>
      </c>
      <c r="D224" s="83">
        <v>20</v>
      </c>
      <c r="E224" s="67"/>
      <c r="F224" s="25"/>
    </row>
    <row r="225" spans="1:28" s="24" customFormat="1" ht="30" hidden="1" customHeight="1" outlineLevel="1" x14ac:dyDescent="0.4">
      <c r="A225" s="26"/>
      <c r="B225" s="17" t="s">
        <v>160</v>
      </c>
      <c r="C225" s="81" t="s">
        <v>18</v>
      </c>
      <c r="D225" s="83">
        <v>40</v>
      </c>
      <c r="E225" s="67"/>
      <c r="F225" s="25"/>
    </row>
    <row r="226" spans="1:28" s="40" customFormat="1" ht="31" customHeight="1" collapsed="1" x14ac:dyDescent="0.35">
      <c r="A226" s="63">
        <f>A220+1</f>
        <v>98</v>
      </c>
      <c r="B226" s="14" t="s">
        <v>413</v>
      </c>
      <c r="C226" s="15" t="s">
        <v>18</v>
      </c>
      <c r="D226" s="77">
        <v>8</v>
      </c>
      <c r="E226" s="69"/>
      <c r="F226" s="36"/>
      <c r="G226" s="37"/>
      <c r="H226" s="38"/>
      <c r="I226" s="37"/>
      <c r="J226" s="37"/>
      <c r="K226" s="39"/>
      <c r="L226" s="39"/>
      <c r="M226" s="39"/>
      <c r="N226" s="38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</row>
    <row r="227" spans="1:28" s="46" customFormat="1" ht="36" customHeight="1" x14ac:dyDescent="0.35">
      <c r="A227" s="63">
        <f>A226+1</f>
        <v>99</v>
      </c>
      <c r="B227" s="14" t="s">
        <v>415</v>
      </c>
      <c r="C227" s="15" t="s">
        <v>414</v>
      </c>
      <c r="D227" s="77">
        <v>4</v>
      </c>
      <c r="E227" s="14"/>
      <c r="F227" s="41"/>
      <c r="G227" s="42"/>
      <c r="H227" s="43"/>
      <c r="I227" s="44"/>
      <c r="J227" s="44"/>
      <c r="K227" s="45"/>
      <c r="L227" s="45"/>
      <c r="M227" s="45"/>
      <c r="N227" s="43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</row>
    <row r="228" spans="1:28" s="46" customFormat="1" ht="30" customHeight="1" x14ac:dyDescent="0.35">
      <c r="A228" s="118" t="s">
        <v>192</v>
      </c>
      <c r="B228" s="118"/>
      <c r="C228" s="118"/>
      <c r="D228" s="118"/>
      <c r="E228" s="118"/>
      <c r="F228" s="41"/>
      <c r="G228" s="42"/>
      <c r="H228" s="43"/>
      <c r="I228" s="44"/>
      <c r="J228" s="44"/>
      <c r="K228" s="45"/>
      <c r="L228" s="45"/>
      <c r="M228" s="45"/>
      <c r="N228" s="43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</row>
    <row r="229" spans="1:28" s="46" customFormat="1" ht="21" customHeight="1" x14ac:dyDescent="0.35">
      <c r="A229" s="115" t="s">
        <v>161</v>
      </c>
      <c r="B229" s="115"/>
      <c r="C229" s="115"/>
      <c r="D229" s="115"/>
      <c r="E229" s="115"/>
      <c r="F229" s="41"/>
      <c r="G229" s="42"/>
      <c r="H229" s="43"/>
      <c r="I229" s="44"/>
      <c r="J229" s="44"/>
      <c r="K229" s="45"/>
      <c r="L229" s="45"/>
      <c r="M229" s="45"/>
      <c r="N229" s="43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</row>
    <row r="230" spans="1:28" s="40" customFormat="1" ht="31" customHeight="1" x14ac:dyDescent="0.35">
      <c r="A230" s="63">
        <f>A227+1</f>
        <v>100</v>
      </c>
      <c r="B230" s="14" t="s">
        <v>49</v>
      </c>
      <c r="C230" s="15" t="s">
        <v>17</v>
      </c>
      <c r="D230" s="79">
        <f>3*3*2</f>
        <v>18</v>
      </c>
      <c r="E230" s="69"/>
      <c r="F230" s="36"/>
      <c r="G230" s="37"/>
      <c r="H230" s="38"/>
      <c r="I230" s="37"/>
      <c r="J230" s="37"/>
      <c r="K230" s="39"/>
      <c r="L230" s="39"/>
      <c r="M230" s="39"/>
      <c r="N230" s="38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</row>
    <row r="231" spans="1:28" s="46" customFormat="1" ht="36" customHeight="1" x14ac:dyDescent="0.35">
      <c r="A231" s="63">
        <f>A230+1</f>
        <v>101</v>
      </c>
      <c r="B231" s="14" t="s">
        <v>162</v>
      </c>
      <c r="C231" s="15" t="s">
        <v>17</v>
      </c>
      <c r="D231" s="77">
        <v>0.12</v>
      </c>
      <c r="E231" s="14"/>
      <c r="F231" s="41"/>
      <c r="G231" s="42"/>
      <c r="H231" s="43"/>
      <c r="I231" s="44"/>
      <c r="J231" s="44"/>
      <c r="K231" s="45"/>
      <c r="L231" s="45"/>
      <c r="M231" s="45"/>
      <c r="N231" s="43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</row>
    <row r="232" spans="1:28" s="24" customFormat="1" ht="30" hidden="1" customHeight="1" outlineLevel="1" x14ac:dyDescent="0.4">
      <c r="A232" s="26"/>
      <c r="B232" s="17" t="s">
        <v>78</v>
      </c>
      <c r="C232" s="81" t="s">
        <v>17</v>
      </c>
      <c r="D232" s="65">
        <v>1.2E-2</v>
      </c>
      <c r="E232" s="67"/>
      <c r="F232" s="25"/>
    </row>
    <row r="233" spans="1:28" ht="33" customHeight="1" collapsed="1" x14ac:dyDescent="0.35">
      <c r="A233" s="63">
        <f>A231+1</f>
        <v>102</v>
      </c>
      <c r="B233" s="14" t="s">
        <v>81</v>
      </c>
      <c r="C233" s="15" t="s">
        <v>17</v>
      </c>
      <c r="D233" s="77">
        <v>1.8</v>
      </c>
      <c r="E233" s="15"/>
      <c r="F233" s="31"/>
    </row>
    <row r="234" spans="1:28" ht="34.5" hidden="1" customHeight="1" outlineLevel="1" x14ac:dyDescent="0.35">
      <c r="A234" s="16"/>
      <c r="B234" s="17" t="s">
        <v>163</v>
      </c>
      <c r="C234" s="18" t="s">
        <v>16</v>
      </c>
      <c r="D234" s="65">
        <f>5*6.04/1000</f>
        <v>3.0199999999999998E-2</v>
      </c>
      <c r="E234" s="18"/>
      <c r="F234" s="47"/>
    </row>
    <row r="235" spans="1:28" ht="34.5" hidden="1" customHeight="1" outlineLevel="1" x14ac:dyDescent="0.35">
      <c r="A235" s="16"/>
      <c r="B235" s="17" t="s">
        <v>82</v>
      </c>
      <c r="C235" s="18" t="s">
        <v>16</v>
      </c>
      <c r="D235" s="65">
        <f>4*18.69/1000</f>
        <v>7.4760000000000007E-2</v>
      </c>
      <c r="E235" s="18"/>
      <c r="F235" s="47"/>
    </row>
    <row r="236" spans="1:28" s="24" customFormat="1" ht="30" hidden="1" customHeight="1" outlineLevel="1" x14ac:dyDescent="0.4">
      <c r="A236" s="26"/>
      <c r="B236" s="17" t="s">
        <v>83</v>
      </c>
      <c r="C236" s="81" t="s">
        <v>17</v>
      </c>
      <c r="D236" s="18">
        <v>1.8</v>
      </c>
      <c r="E236" s="67"/>
      <c r="F236" s="25"/>
    </row>
    <row r="237" spans="1:28" s="24" customFormat="1" ht="30" customHeight="1" collapsed="1" x14ac:dyDescent="0.4">
      <c r="A237" s="63">
        <f>A233+1</f>
        <v>103</v>
      </c>
      <c r="B237" s="19" t="s">
        <v>164</v>
      </c>
      <c r="C237" s="20" t="s">
        <v>21</v>
      </c>
      <c r="D237" s="77" t="s">
        <v>166</v>
      </c>
      <c r="E237" s="77"/>
      <c r="F237" s="25"/>
    </row>
    <row r="238" spans="1:28" s="24" customFormat="1" ht="30" hidden="1" customHeight="1" outlineLevel="1" x14ac:dyDescent="0.4">
      <c r="A238" s="26"/>
      <c r="B238" s="17" t="s">
        <v>165</v>
      </c>
      <c r="C238" s="81" t="s">
        <v>18</v>
      </c>
      <c r="D238" s="83">
        <v>3</v>
      </c>
      <c r="E238" s="67">
        <v>5.0000000000000001E-3</v>
      </c>
      <c r="F238" s="25"/>
    </row>
    <row r="239" spans="1:28" s="24" customFormat="1" ht="30" customHeight="1" collapsed="1" x14ac:dyDescent="0.4">
      <c r="A239" s="63">
        <f>A237+1</f>
        <v>104</v>
      </c>
      <c r="B239" s="19" t="s">
        <v>108</v>
      </c>
      <c r="C239" s="20" t="s">
        <v>107</v>
      </c>
      <c r="D239" s="77" t="s">
        <v>167</v>
      </c>
      <c r="E239" s="77"/>
      <c r="F239" s="25"/>
    </row>
    <row r="240" spans="1:28" ht="31" customHeight="1" x14ac:dyDescent="0.35">
      <c r="A240" s="63">
        <f>A239+1</f>
        <v>105</v>
      </c>
      <c r="B240" s="14" t="s">
        <v>40</v>
      </c>
      <c r="C240" s="15" t="s">
        <v>19</v>
      </c>
      <c r="D240" s="79">
        <f>(2.2*0.9*4)*2</f>
        <v>15.840000000000002</v>
      </c>
      <c r="E240" s="15"/>
      <c r="F240" s="47"/>
    </row>
    <row r="241" spans="1:28" ht="31" hidden="1" customHeight="1" outlineLevel="1" x14ac:dyDescent="0.35">
      <c r="A241" s="16"/>
      <c r="B241" s="17" t="s">
        <v>26</v>
      </c>
      <c r="C241" s="81" t="s">
        <v>25</v>
      </c>
      <c r="D241" s="82">
        <f>15.8*2*2</f>
        <v>63.2</v>
      </c>
      <c r="E241" s="81">
        <v>6.3E-2</v>
      </c>
      <c r="F241" s="47"/>
    </row>
    <row r="242" spans="1:28" s="46" customFormat="1" ht="21" customHeight="1" collapsed="1" x14ac:dyDescent="0.35">
      <c r="A242" s="115" t="s">
        <v>168</v>
      </c>
      <c r="B242" s="115"/>
      <c r="C242" s="115"/>
      <c r="D242" s="115"/>
      <c r="E242" s="115"/>
      <c r="F242" s="41"/>
      <c r="G242" s="42"/>
      <c r="H242" s="43"/>
      <c r="I242" s="44"/>
      <c r="J242" s="44"/>
      <c r="K242" s="45"/>
      <c r="L242" s="45"/>
      <c r="M242" s="45"/>
      <c r="N242" s="43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</row>
    <row r="243" spans="1:28" s="46" customFormat="1" ht="21" customHeight="1" x14ac:dyDescent="0.35">
      <c r="A243" s="116" t="s">
        <v>170</v>
      </c>
      <c r="B243" s="116"/>
      <c r="C243" s="116"/>
      <c r="D243" s="116"/>
      <c r="E243" s="116"/>
      <c r="F243" s="41"/>
      <c r="G243" s="42"/>
      <c r="H243" s="43"/>
      <c r="I243" s="44"/>
      <c r="J243" s="44"/>
      <c r="K243" s="45"/>
      <c r="L243" s="45"/>
      <c r="M243" s="45"/>
      <c r="N243" s="43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</row>
    <row r="244" spans="1:28" s="24" customFormat="1" ht="30" customHeight="1" x14ac:dyDescent="0.4">
      <c r="A244" s="63">
        <f>A240+1</f>
        <v>106</v>
      </c>
      <c r="B244" s="19" t="s">
        <v>84</v>
      </c>
      <c r="C244" s="20" t="s">
        <v>21</v>
      </c>
      <c r="D244" s="77" t="s">
        <v>171</v>
      </c>
      <c r="E244" s="77"/>
      <c r="F244" s="25"/>
    </row>
    <row r="245" spans="1:28" s="24" customFormat="1" ht="30" hidden="1" customHeight="1" outlineLevel="1" x14ac:dyDescent="0.4">
      <c r="A245" s="26"/>
      <c r="B245" s="17" t="s">
        <v>169</v>
      </c>
      <c r="C245" s="81" t="s">
        <v>18</v>
      </c>
      <c r="D245" s="83">
        <v>20</v>
      </c>
      <c r="E245" s="67">
        <v>9.1999999999999998E-2</v>
      </c>
      <c r="F245" s="25"/>
    </row>
    <row r="246" spans="1:28" s="46" customFormat="1" ht="36" customHeight="1" collapsed="1" x14ac:dyDescent="0.35">
      <c r="A246" s="63">
        <f>A244+1</f>
        <v>107</v>
      </c>
      <c r="B246" s="14" t="s">
        <v>238</v>
      </c>
      <c r="C246" s="15" t="s">
        <v>21</v>
      </c>
      <c r="D246" s="77" t="s">
        <v>243</v>
      </c>
      <c r="E246" s="14"/>
      <c r="F246" s="41"/>
      <c r="G246" s="42"/>
      <c r="H246" s="43"/>
      <c r="I246" s="44"/>
      <c r="J246" s="44"/>
      <c r="K246" s="45"/>
      <c r="L246" s="45"/>
      <c r="M246" s="45"/>
      <c r="N246" s="43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</row>
    <row r="247" spans="1:28" s="24" customFormat="1" ht="30" hidden="1" customHeight="1" outlineLevel="1" x14ac:dyDescent="0.4">
      <c r="A247" s="26"/>
      <c r="B247" s="17" t="s">
        <v>69</v>
      </c>
      <c r="C247" s="81" t="s">
        <v>16</v>
      </c>
      <c r="D247" s="67">
        <f>8.38*20/1000*1.0012</f>
        <v>0.16780112000000005</v>
      </c>
      <c r="E247" s="67"/>
      <c r="F247" s="25"/>
    </row>
    <row r="248" spans="1:28" s="24" customFormat="1" ht="30" hidden="1" customHeight="1" outlineLevel="1" x14ac:dyDescent="0.4">
      <c r="A248" s="26"/>
      <c r="B248" s="17" t="s">
        <v>58</v>
      </c>
      <c r="C248" s="81" t="s">
        <v>16</v>
      </c>
      <c r="D248" s="67">
        <f>(2.52+2)*20/1000*1.0012</f>
        <v>9.0508480000000002E-2</v>
      </c>
      <c r="E248" s="67"/>
      <c r="F248" s="25"/>
    </row>
    <row r="249" spans="1:28" s="24" customFormat="1" ht="30" customHeight="1" collapsed="1" x14ac:dyDescent="0.4">
      <c r="A249" s="63">
        <f>A246+1</f>
        <v>108</v>
      </c>
      <c r="B249" s="19" t="s">
        <v>242</v>
      </c>
      <c r="C249" s="15" t="s">
        <v>21</v>
      </c>
      <c r="D249" s="77" t="s">
        <v>243</v>
      </c>
      <c r="E249" s="77"/>
      <c r="F249" s="25"/>
    </row>
    <row r="250" spans="1:28" ht="36" customHeight="1" x14ac:dyDescent="0.35">
      <c r="A250" s="63">
        <f>A249+1</f>
        <v>109</v>
      </c>
      <c r="B250" s="19" t="s">
        <v>34</v>
      </c>
      <c r="C250" s="15" t="s">
        <v>19</v>
      </c>
      <c r="D250" s="64">
        <f>(((0.089*0.4*3.14)*20)+(0.2*0.2*2*20)+(0.08*0.1*4*2*20)+(0.25*0.25*2*20))*2</f>
        <v>15.231360000000002</v>
      </c>
      <c r="E250" s="15"/>
      <c r="F250" s="47"/>
    </row>
    <row r="251" spans="1:28" ht="36" customHeight="1" x14ac:dyDescent="0.35">
      <c r="A251" s="63">
        <f>A250+1</f>
        <v>110</v>
      </c>
      <c r="B251" s="19" t="s">
        <v>51</v>
      </c>
      <c r="C251" s="15" t="s">
        <v>19</v>
      </c>
      <c r="D251" s="64">
        <v>15.2</v>
      </c>
      <c r="E251" s="15"/>
      <c r="F251" s="47"/>
    </row>
    <row r="252" spans="1:28" ht="36" customHeight="1" x14ac:dyDescent="0.35">
      <c r="A252" s="63">
        <f>A251+1</f>
        <v>111</v>
      </c>
      <c r="B252" s="19" t="s">
        <v>52</v>
      </c>
      <c r="C252" s="15" t="s">
        <v>19</v>
      </c>
      <c r="D252" s="64">
        <v>15.2</v>
      </c>
      <c r="E252" s="15"/>
      <c r="F252" s="47"/>
    </row>
    <row r="253" spans="1:28" s="24" customFormat="1" ht="30" customHeight="1" x14ac:dyDescent="0.4">
      <c r="A253" s="63">
        <f>A252+1</f>
        <v>112</v>
      </c>
      <c r="B253" s="19" t="s">
        <v>89</v>
      </c>
      <c r="C253" s="20" t="s">
        <v>19</v>
      </c>
      <c r="D253" s="64">
        <v>15.2</v>
      </c>
      <c r="E253" s="77"/>
      <c r="F253" s="25"/>
    </row>
    <row r="254" spans="1:28" s="24" customFormat="1" ht="30" hidden="1" customHeight="1" outlineLevel="1" x14ac:dyDescent="0.4">
      <c r="A254" s="26"/>
      <c r="B254" s="17" t="s">
        <v>88</v>
      </c>
      <c r="C254" s="81" t="s">
        <v>25</v>
      </c>
      <c r="D254" s="82">
        <f>15.2*0.36*2</f>
        <v>10.943999999999999</v>
      </c>
      <c r="E254" s="81">
        <v>1.0999999999999999E-2</v>
      </c>
      <c r="F254" s="25"/>
    </row>
    <row r="255" spans="1:28" s="46" customFormat="1" ht="21" customHeight="1" collapsed="1" x14ac:dyDescent="0.35">
      <c r="A255" s="116" t="s">
        <v>172</v>
      </c>
      <c r="B255" s="116"/>
      <c r="C255" s="116"/>
      <c r="D255" s="116"/>
      <c r="E255" s="116"/>
      <c r="F255" s="41"/>
      <c r="G255" s="42"/>
      <c r="H255" s="43"/>
      <c r="I255" s="44"/>
      <c r="J255" s="44"/>
      <c r="K255" s="45"/>
      <c r="L255" s="45"/>
      <c r="M255" s="45"/>
      <c r="N255" s="43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</row>
    <row r="256" spans="1:28" s="46" customFormat="1" ht="36" customHeight="1" x14ac:dyDescent="0.35">
      <c r="A256" s="63">
        <f>A253+1</f>
        <v>113</v>
      </c>
      <c r="B256" s="14" t="s">
        <v>238</v>
      </c>
      <c r="C256" s="15" t="s">
        <v>21</v>
      </c>
      <c r="D256" s="77" t="s">
        <v>239</v>
      </c>
      <c r="E256" s="14"/>
      <c r="F256" s="41"/>
      <c r="G256" s="42"/>
      <c r="H256" s="43"/>
      <c r="I256" s="44"/>
      <c r="J256" s="44"/>
      <c r="K256" s="45"/>
      <c r="L256" s="45"/>
      <c r="M256" s="45"/>
      <c r="N256" s="43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</row>
    <row r="257" spans="1:28" s="24" customFormat="1" ht="30" hidden="1" customHeight="1" outlineLevel="1" x14ac:dyDescent="0.4">
      <c r="A257" s="26"/>
      <c r="B257" s="17" t="s">
        <v>69</v>
      </c>
      <c r="C257" s="81" t="s">
        <v>16</v>
      </c>
      <c r="D257" s="67">
        <f>8.38*1/1000*1.012</f>
        <v>8.4805599999999998E-3</v>
      </c>
      <c r="E257" s="67"/>
      <c r="F257" s="25"/>
    </row>
    <row r="258" spans="1:28" s="24" customFormat="1" ht="30" hidden="1" customHeight="1" outlineLevel="1" x14ac:dyDescent="0.4">
      <c r="A258" s="26"/>
      <c r="B258" s="17" t="s">
        <v>58</v>
      </c>
      <c r="C258" s="81" t="s">
        <v>16</v>
      </c>
      <c r="D258" s="67">
        <f>(2.52)*1/1000*1.1</f>
        <v>2.7720000000000002E-3</v>
      </c>
      <c r="E258" s="67"/>
      <c r="F258" s="25"/>
    </row>
    <row r="259" spans="1:28" ht="36" customHeight="1" collapsed="1" x14ac:dyDescent="0.35">
      <c r="A259" s="63">
        <f>A256+1</f>
        <v>114</v>
      </c>
      <c r="B259" s="19" t="s">
        <v>242</v>
      </c>
      <c r="C259" s="15" t="s">
        <v>21</v>
      </c>
      <c r="D259" s="77" t="s">
        <v>239</v>
      </c>
      <c r="E259" s="15"/>
      <c r="F259" s="47"/>
    </row>
    <row r="260" spans="1:28" ht="36" customHeight="1" x14ac:dyDescent="0.35">
      <c r="A260" s="63">
        <f>A259+1</f>
        <v>115</v>
      </c>
      <c r="B260" s="19" t="s">
        <v>34</v>
      </c>
      <c r="C260" s="15" t="s">
        <v>19</v>
      </c>
      <c r="D260" s="64">
        <f>(((0.089*0.4*3.14)*1)+(0.2*0.2*2*1))*2</f>
        <v>0.38356800000000002</v>
      </c>
      <c r="E260" s="15"/>
      <c r="F260" s="47"/>
    </row>
    <row r="261" spans="1:28" ht="36" customHeight="1" x14ac:dyDescent="0.35">
      <c r="A261" s="63">
        <f>A260+1</f>
        <v>116</v>
      </c>
      <c r="B261" s="19" t="s">
        <v>51</v>
      </c>
      <c r="C261" s="15" t="s">
        <v>19</v>
      </c>
      <c r="D261" s="64">
        <f>(((0.089*0.4*3.14)*1)+(0.2*0.2*2*1))*2</f>
        <v>0.38356800000000002</v>
      </c>
      <c r="E261" s="15"/>
      <c r="F261" s="47"/>
    </row>
    <row r="262" spans="1:28" ht="36" customHeight="1" x14ac:dyDescent="0.35">
      <c r="A262" s="63">
        <f>A261+1</f>
        <v>117</v>
      </c>
      <c r="B262" s="19" t="s">
        <v>52</v>
      </c>
      <c r="C262" s="15" t="s">
        <v>19</v>
      </c>
      <c r="D262" s="64">
        <f>(((0.089*0.4*3.14)*1)+(0.2*0.2*2*1))*2</f>
        <v>0.38356800000000002</v>
      </c>
      <c r="E262" s="15"/>
      <c r="F262" s="47"/>
    </row>
    <row r="263" spans="1:28" s="24" customFormat="1" ht="30" customHeight="1" x14ac:dyDescent="0.4">
      <c r="A263" s="63">
        <f>A262+1</f>
        <v>118</v>
      </c>
      <c r="B263" s="19" t="s">
        <v>89</v>
      </c>
      <c r="C263" s="20" t="s">
        <v>19</v>
      </c>
      <c r="D263" s="64">
        <f>(((0.089*0.4*3.14)*1)+(0.2*0.2*2*1))*2</f>
        <v>0.38356800000000002</v>
      </c>
      <c r="E263" s="77"/>
      <c r="F263" s="25"/>
    </row>
    <row r="264" spans="1:28" s="24" customFormat="1" ht="30" hidden="1" customHeight="1" outlineLevel="1" x14ac:dyDescent="0.4">
      <c r="A264" s="26"/>
      <c r="B264" s="17" t="s">
        <v>88</v>
      </c>
      <c r="C264" s="81" t="s">
        <v>25</v>
      </c>
      <c r="D264" s="82">
        <f>0.4*0.36*2</f>
        <v>0.28799999999999998</v>
      </c>
      <c r="E264" s="81">
        <v>1E-3</v>
      </c>
      <c r="F264" s="25"/>
    </row>
    <row r="265" spans="1:28" s="46" customFormat="1" ht="21" customHeight="1" collapsed="1" x14ac:dyDescent="0.35">
      <c r="A265" s="115" t="s">
        <v>173</v>
      </c>
      <c r="B265" s="115"/>
      <c r="C265" s="115"/>
      <c r="D265" s="115"/>
      <c r="E265" s="115"/>
      <c r="F265" s="41"/>
      <c r="G265" s="42"/>
      <c r="H265" s="43"/>
      <c r="I265" s="44"/>
      <c r="J265" s="44"/>
      <c r="K265" s="45"/>
      <c r="L265" s="45"/>
      <c r="M265" s="45"/>
      <c r="N265" s="43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</row>
    <row r="266" spans="1:28" s="46" customFormat="1" ht="21" customHeight="1" x14ac:dyDescent="0.35">
      <c r="A266" s="116" t="s">
        <v>174</v>
      </c>
      <c r="B266" s="116"/>
      <c r="C266" s="116"/>
      <c r="D266" s="116"/>
      <c r="E266" s="116"/>
      <c r="F266" s="41"/>
      <c r="G266" s="42"/>
      <c r="H266" s="43"/>
      <c r="I266" s="44"/>
      <c r="J266" s="44"/>
      <c r="K266" s="45"/>
      <c r="L266" s="45"/>
      <c r="M266" s="45"/>
      <c r="N266" s="43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</row>
    <row r="267" spans="1:28" s="24" customFormat="1" ht="30" customHeight="1" x14ac:dyDescent="0.4">
      <c r="A267" s="63">
        <f>A263+1</f>
        <v>119</v>
      </c>
      <c r="B267" s="19" t="s">
        <v>183</v>
      </c>
      <c r="C267" s="20" t="s">
        <v>16</v>
      </c>
      <c r="D267" s="84">
        <f>0.673/1.1</f>
        <v>0.61181818181818182</v>
      </c>
      <c r="E267" s="77"/>
      <c r="F267" s="25"/>
    </row>
    <row r="268" spans="1:28" s="24" customFormat="1" ht="30" hidden="1" customHeight="1" outlineLevel="1" x14ac:dyDescent="0.4">
      <c r="A268" s="26"/>
      <c r="B268" s="17" t="s">
        <v>46</v>
      </c>
      <c r="C268" s="81" t="s">
        <v>16</v>
      </c>
      <c r="D268" s="67">
        <f>(27.04+27.04+27.04+27.04+20.8+20.8+9.36+9.36+4.68+4.68+4.68+4.68)*1.012/1000</f>
        <v>0.18944640000000004</v>
      </c>
      <c r="E268" s="67"/>
      <c r="F268" s="25"/>
    </row>
    <row r="269" spans="1:28" s="24" customFormat="1" ht="30" hidden="1" customHeight="1" outlineLevel="1" x14ac:dyDescent="0.4">
      <c r="A269" s="26"/>
      <c r="B269" s="17" t="s">
        <v>177</v>
      </c>
      <c r="C269" s="81" t="s">
        <v>16</v>
      </c>
      <c r="D269" s="67">
        <f>(3.96+11.9+66.65+21.56)*1.012/1000</f>
        <v>0.10531884000000001</v>
      </c>
      <c r="E269" s="67"/>
      <c r="F269" s="25"/>
    </row>
    <row r="270" spans="1:28" s="24" customFormat="1" ht="30" hidden="1" customHeight="1" outlineLevel="1" x14ac:dyDescent="0.4">
      <c r="A270" s="26"/>
      <c r="B270" s="17" t="s">
        <v>178</v>
      </c>
      <c r="C270" s="81" t="s">
        <v>16</v>
      </c>
      <c r="D270" s="67">
        <f>(83.03+34.28)*1.012/1000</f>
        <v>0.11871772</v>
      </c>
      <c r="E270" s="67"/>
      <c r="F270" s="25"/>
    </row>
    <row r="271" spans="1:28" s="24" customFormat="1" ht="30" hidden="1" customHeight="1" outlineLevel="1" x14ac:dyDescent="0.4">
      <c r="A271" s="26"/>
      <c r="B271" s="17" t="s">
        <v>179</v>
      </c>
      <c r="C271" s="81" t="s">
        <v>16</v>
      </c>
      <c r="D271" s="67">
        <f>182.53*1.012/1000</f>
        <v>0.18472036</v>
      </c>
      <c r="E271" s="67"/>
      <c r="F271" s="25"/>
    </row>
    <row r="272" spans="1:28" s="24" customFormat="1" ht="30" hidden="1" customHeight="1" outlineLevel="1" x14ac:dyDescent="0.4">
      <c r="A272" s="26"/>
      <c r="B272" s="17" t="s">
        <v>58</v>
      </c>
      <c r="C272" s="81" t="s">
        <v>16</v>
      </c>
      <c r="D272" s="67">
        <f>13.2*1.012/1000</f>
        <v>1.3358399999999999E-2</v>
      </c>
      <c r="E272" s="67"/>
      <c r="F272" s="25"/>
    </row>
    <row r="273" spans="1:28" s="24" customFormat="1" ht="30" hidden="1" customHeight="1" outlineLevel="1" x14ac:dyDescent="0.4">
      <c r="A273" s="26"/>
      <c r="B273" s="17" t="s">
        <v>180</v>
      </c>
      <c r="C273" s="81" t="s">
        <v>16</v>
      </c>
      <c r="D273" s="67">
        <f>7.23*1.012/1000</f>
        <v>7.3167600000000003E-3</v>
      </c>
      <c r="E273" s="67"/>
      <c r="F273" s="25"/>
    </row>
    <row r="274" spans="1:28" s="24" customFormat="1" ht="30" customHeight="1" collapsed="1" x14ac:dyDescent="0.4">
      <c r="A274" s="63">
        <f>A267+1</f>
        <v>120</v>
      </c>
      <c r="B274" s="19" t="s">
        <v>187</v>
      </c>
      <c r="C274" s="20" t="s">
        <v>18</v>
      </c>
      <c r="D274" s="77">
        <v>4</v>
      </c>
      <c r="E274" s="77"/>
      <c r="F274" s="25"/>
    </row>
    <row r="275" spans="1:28" s="24" customFormat="1" ht="30" customHeight="1" x14ac:dyDescent="0.4">
      <c r="A275" s="63">
        <f>A274+1</f>
        <v>121</v>
      </c>
      <c r="B275" s="19" t="s">
        <v>188</v>
      </c>
      <c r="C275" s="20" t="s">
        <v>21</v>
      </c>
      <c r="D275" s="77" t="s">
        <v>190</v>
      </c>
      <c r="E275" s="77"/>
      <c r="F275" s="25"/>
    </row>
    <row r="276" spans="1:28" s="24" customFormat="1" ht="30" hidden="1" customHeight="1" outlineLevel="1" x14ac:dyDescent="0.4">
      <c r="A276" s="26"/>
      <c r="B276" s="17" t="s">
        <v>189</v>
      </c>
      <c r="C276" s="81" t="s">
        <v>18</v>
      </c>
      <c r="D276" s="81">
        <v>4</v>
      </c>
      <c r="E276" s="81"/>
      <c r="F276" s="25"/>
    </row>
    <row r="277" spans="1:28" ht="36" customHeight="1" collapsed="1" x14ac:dyDescent="0.35">
      <c r="A277" s="63">
        <f>A275+1</f>
        <v>122</v>
      </c>
      <c r="B277" s="19" t="s">
        <v>34</v>
      </c>
      <c r="C277" s="15" t="s">
        <v>19</v>
      </c>
      <c r="D277" s="64">
        <f>0.612*29</f>
        <v>17.748000000000001</v>
      </c>
      <c r="E277" s="15"/>
      <c r="F277" s="47"/>
    </row>
    <row r="278" spans="1:28" ht="36" customHeight="1" x14ac:dyDescent="0.35">
      <c r="A278" s="63">
        <f>A277+1</f>
        <v>123</v>
      </c>
      <c r="B278" s="19" t="s">
        <v>51</v>
      </c>
      <c r="C278" s="15" t="s">
        <v>19</v>
      </c>
      <c r="D278" s="64">
        <f>0.612*29</f>
        <v>17.748000000000001</v>
      </c>
      <c r="E278" s="15"/>
      <c r="F278" s="47"/>
    </row>
    <row r="279" spans="1:28" ht="36" customHeight="1" x14ac:dyDescent="0.35">
      <c r="A279" s="63">
        <f>A278+1</f>
        <v>124</v>
      </c>
      <c r="B279" s="19" t="s">
        <v>52</v>
      </c>
      <c r="C279" s="15" t="s">
        <v>19</v>
      </c>
      <c r="D279" s="64">
        <f>0.612*29</f>
        <v>17.748000000000001</v>
      </c>
      <c r="E279" s="15"/>
      <c r="F279" s="47"/>
    </row>
    <row r="280" spans="1:28" s="24" customFormat="1" ht="30" customHeight="1" x14ac:dyDescent="0.4">
      <c r="A280" s="63">
        <f>A279+1</f>
        <v>125</v>
      </c>
      <c r="B280" s="19" t="s">
        <v>89</v>
      </c>
      <c r="C280" s="20" t="s">
        <v>19</v>
      </c>
      <c r="D280" s="64">
        <f>0.612*29</f>
        <v>17.748000000000001</v>
      </c>
      <c r="E280" s="77"/>
      <c r="F280" s="25"/>
    </row>
    <row r="281" spans="1:28" s="24" customFormat="1" ht="30" hidden="1" customHeight="1" outlineLevel="1" x14ac:dyDescent="0.4">
      <c r="A281" s="26"/>
      <c r="B281" s="17" t="s">
        <v>88</v>
      </c>
      <c r="C281" s="81" t="s">
        <v>25</v>
      </c>
      <c r="D281" s="82">
        <f>17.7*0.36*2</f>
        <v>12.744</v>
      </c>
      <c r="E281" s="81">
        <v>1.2999999999999999E-2</v>
      </c>
      <c r="F281" s="25"/>
    </row>
    <row r="282" spans="1:28" s="46" customFormat="1" ht="21" customHeight="1" collapsed="1" x14ac:dyDescent="0.35">
      <c r="A282" s="116" t="s">
        <v>176</v>
      </c>
      <c r="B282" s="116"/>
      <c r="C282" s="116"/>
      <c r="D282" s="116"/>
      <c r="E282" s="116"/>
      <c r="F282" s="41"/>
      <c r="G282" s="42"/>
      <c r="H282" s="43"/>
      <c r="I282" s="44"/>
      <c r="J282" s="44"/>
      <c r="K282" s="45"/>
      <c r="L282" s="45"/>
      <c r="M282" s="45"/>
      <c r="N282" s="43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</row>
    <row r="283" spans="1:28" s="46" customFormat="1" ht="36" customHeight="1" x14ac:dyDescent="0.35">
      <c r="A283" s="63">
        <f>A280+1</f>
        <v>126</v>
      </c>
      <c r="B283" s="14" t="s">
        <v>80</v>
      </c>
      <c r="C283" s="15" t="s">
        <v>17</v>
      </c>
      <c r="D283" s="77">
        <v>0.4</v>
      </c>
      <c r="E283" s="14"/>
      <c r="F283" s="41"/>
      <c r="G283" s="42"/>
      <c r="H283" s="43"/>
      <c r="I283" s="44"/>
      <c r="J283" s="44"/>
      <c r="K283" s="45"/>
      <c r="L283" s="45"/>
      <c r="M283" s="45"/>
      <c r="N283" s="43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</row>
    <row r="284" spans="1:28" ht="34.5" hidden="1" customHeight="1" outlineLevel="1" x14ac:dyDescent="0.35">
      <c r="A284" s="16"/>
      <c r="B284" s="17" t="s">
        <v>78</v>
      </c>
      <c r="C284" s="18" t="s">
        <v>17</v>
      </c>
      <c r="D284" s="18">
        <v>0.4</v>
      </c>
      <c r="E284" s="17"/>
      <c r="F284" s="47"/>
    </row>
    <row r="285" spans="1:28" ht="33" customHeight="1" collapsed="1" x14ac:dyDescent="0.35">
      <c r="A285" s="63">
        <f>A283+1</f>
        <v>127</v>
      </c>
      <c r="B285" s="14" t="s">
        <v>81</v>
      </c>
      <c r="C285" s="15" t="s">
        <v>17</v>
      </c>
      <c r="D285" s="64">
        <f>0.59*4</f>
        <v>2.36</v>
      </c>
      <c r="E285" s="15"/>
      <c r="F285" s="31"/>
    </row>
    <row r="286" spans="1:28" s="24" customFormat="1" ht="30" hidden="1" customHeight="1" outlineLevel="1" x14ac:dyDescent="0.4">
      <c r="A286" s="26"/>
      <c r="B286" s="17" t="s">
        <v>83</v>
      </c>
      <c r="C286" s="81" t="s">
        <v>17</v>
      </c>
      <c r="D286" s="18">
        <v>2.4</v>
      </c>
      <c r="E286" s="67"/>
      <c r="F286" s="25"/>
    </row>
    <row r="287" spans="1:28" s="46" customFormat="1" ht="36" customHeight="1" collapsed="1" x14ac:dyDescent="0.35">
      <c r="A287" s="63">
        <f>A285+1</f>
        <v>128</v>
      </c>
      <c r="B287" s="14" t="s">
        <v>238</v>
      </c>
      <c r="C287" s="15" t="s">
        <v>21</v>
      </c>
      <c r="D287" s="77" t="s">
        <v>244</v>
      </c>
      <c r="E287" s="14"/>
      <c r="F287" s="41"/>
      <c r="G287" s="42"/>
      <c r="H287" s="43"/>
      <c r="I287" s="44"/>
      <c r="J287" s="44"/>
      <c r="K287" s="45"/>
      <c r="L287" s="45"/>
      <c r="M287" s="45"/>
      <c r="N287" s="43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</row>
    <row r="288" spans="1:28" s="24" customFormat="1" ht="30" hidden="1" customHeight="1" outlineLevel="1" x14ac:dyDescent="0.4">
      <c r="A288" s="26"/>
      <c r="B288" s="17" t="s">
        <v>175</v>
      </c>
      <c r="C288" s="81" t="s">
        <v>16</v>
      </c>
      <c r="D288" s="67">
        <f>96.32*4*1.012/1000</f>
        <v>0.38990335999999998</v>
      </c>
      <c r="E288" s="67"/>
      <c r="F288" s="25"/>
    </row>
    <row r="289" spans="1:28" s="24" customFormat="1" ht="30" hidden="1" customHeight="1" outlineLevel="1" x14ac:dyDescent="0.4">
      <c r="A289" s="26"/>
      <c r="B289" s="17" t="s">
        <v>58</v>
      </c>
      <c r="C289" s="81" t="s">
        <v>16</v>
      </c>
      <c r="D289" s="67">
        <f>2.51*4*1.012/1000</f>
        <v>1.016048E-2</v>
      </c>
      <c r="E289" s="67"/>
      <c r="F289" s="25"/>
    </row>
    <row r="290" spans="1:28" s="24" customFormat="1" ht="30" customHeight="1" collapsed="1" x14ac:dyDescent="0.4">
      <c r="A290" s="63">
        <f>A287+1</f>
        <v>129</v>
      </c>
      <c r="B290" s="19" t="s">
        <v>242</v>
      </c>
      <c r="C290" s="15" t="s">
        <v>21</v>
      </c>
      <c r="D290" s="77" t="s">
        <v>244</v>
      </c>
      <c r="E290" s="77"/>
      <c r="F290" s="25"/>
    </row>
    <row r="291" spans="1:28" ht="36" customHeight="1" x14ac:dyDescent="0.35">
      <c r="A291" s="63">
        <f>A290+1</f>
        <v>130</v>
      </c>
      <c r="B291" s="19" t="s">
        <v>34</v>
      </c>
      <c r="C291" s="15" t="s">
        <v>19</v>
      </c>
      <c r="D291" s="64">
        <f>((0.159*3.58*3.14)+(0.2*0.2*2))*4</f>
        <v>7.4694032000000012</v>
      </c>
      <c r="E291" s="15"/>
      <c r="F291" s="47"/>
    </row>
    <row r="292" spans="1:28" ht="36" customHeight="1" x14ac:dyDescent="0.35">
      <c r="A292" s="63">
        <f>A291+1</f>
        <v>131</v>
      </c>
      <c r="B292" s="19" t="s">
        <v>51</v>
      </c>
      <c r="C292" s="15" t="s">
        <v>19</v>
      </c>
      <c r="D292" s="64">
        <v>7.5</v>
      </c>
      <c r="E292" s="15"/>
      <c r="F292" s="47"/>
    </row>
    <row r="293" spans="1:28" ht="36" customHeight="1" x14ac:dyDescent="0.35">
      <c r="A293" s="63">
        <f>A292+1</f>
        <v>132</v>
      </c>
      <c r="B293" s="19" t="s">
        <v>52</v>
      </c>
      <c r="C293" s="15" t="s">
        <v>19</v>
      </c>
      <c r="D293" s="64">
        <v>7.5</v>
      </c>
      <c r="E293" s="15"/>
      <c r="F293" s="47"/>
    </row>
    <row r="294" spans="1:28" s="24" customFormat="1" ht="30" customHeight="1" x14ac:dyDescent="0.4">
      <c r="A294" s="63">
        <f>A293+1</f>
        <v>133</v>
      </c>
      <c r="B294" s="19" t="s">
        <v>89</v>
      </c>
      <c r="C294" s="20" t="s">
        <v>19</v>
      </c>
      <c r="D294" s="77">
        <v>7.5</v>
      </c>
      <c r="E294" s="77"/>
      <c r="F294" s="25"/>
    </row>
    <row r="295" spans="1:28" s="24" customFormat="1" ht="30" hidden="1" customHeight="1" outlineLevel="1" x14ac:dyDescent="0.4">
      <c r="A295" s="26"/>
      <c r="B295" s="17" t="s">
        <v>88</v>
      </c>
      <c r="C295" s="81" t="s">
        <v>25</v>
      </c>
      <c r="D295" s="82">
        <f>7.5*0.36*2</f>
        <v>5.3999999999999995</v>
      </c>
      <c r="E295" s="81">
        <v>4.8000000000000001E-2</v>
      </c>
      <c r="F295" s="25"/>
    </row>
    <row r="296" spans="1:28" s="46" customFormat="1" ht="21" customHeight="1" collapsed="1" x14ac:dyDescent="0.35">
      <c r="A296" s="116" t="s">
        <v>181</v>
      </c>
      <c r="B296" s="116"/>
      <c r="C296" s="116"/>
      <c r="D296" s="116"/>
      <c r="E296" s="116"/>
      <c r="F296" s="41"/>
      <c r="G296" s="42"/>
      <c r="H296" s="43"/>
      <c r="I296" s="44"/>
      <c r="J296" s="44"/>
      <c r="K296" s="45"/>
      <c r="L296" s="45"/>
      <c r="M296" s="45"/>
      <c r="N296" s="43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</row>
    <row r="297" spans="1:28" s="24" customFormat="1" ht="30" customHeight="1" x14ac:dyDescent="0.4">
      <c r="A297" s="63">
        <f>A294+1</f>
        <v>134</v>
      </c>
      <c r="B297" s="19" t="s">
        <v>182</v>
      </c>
      <c r="C297" s="20" t="s">
        <v>16</v>
      </c>
      <c r="D297" s="84">
        <f>0.332/1.1</f>
        <v>0.30181818181818182</v>
      </c>
      <c r="E297" s="77"/>
      <c r="F297" s="25"/>
    </row>
    <row r="298" spans="1:28" s="24" customFormat="1" ht="30" hidden="1" customHeight="1" outlineLevel="1" x14ac:dyDescent="0.4">
      <c r="A298" s="26"/>
      <c r="B298" s="17" t="s">
        <v>177</v>
      </c>
      <c r="C298" s="81" t="s">
        <v>16</v>
      </c>
      <c r="D298" s="67">
        <f>(50.9+41.5+69.75)*1.012/1000</f>
        <v>0.16409579999999999</v>
      </c>
      <c r="E298" s="67"/>
      <c r="F298" s="25"/>
    </row>
    <row r="299" spans="1:28" s="24" customFormat="1" ht="30" hidden="1" customHeight="1" outlineLevel="1" x14ac:dyDescent="0.4">
      <c r="A299" s="26"/>
      <c r="B299" s="17" t="s">
        <v>184</v>
      </c>
      <c r="C299" s="81" t="s">
        <v>16</v>
      </c>
      <c r="D299" s="67">
        <f>(46.47)*1.012/1000</f>
        <v>4.7027639999999996E-2</v>
      </c>
      <c r="E299" s="67"/>
      <c r="F299" s="25"/>
    </row>
    <row r="300" spans="1:28" s="24" customFormat="1" ht="30" hidden="1" customHeight="1" outlineLevel="1" x14ac:dyDescent="0.4">
      <c r="A300" s="26"/>
      <c r="B300" s="17" t="s">
        <v>185</v>
      </c>
      <c r="C300" s="81" t="s">
        <v>16</v>
      </c>
      <c r="D300" s="67">
        <f>87.14*1.012/1000</f>
        <v>8.8185680000000002E-2</v>
      </c>
      <c r="E300" s="67"/>
      <c r="F300" s="25"/>
    </row>
    <row r="301" spans="1:28" s="24" customFormat="1" ht="30" hidden="1" customHeight="1" outlineLevel="1" x14ac:dyDescent="0.4">
      <c r="A301" s="26"/>
      <c r="B301" s="17" t="s">
        <v>58</v>
      </c>
      <c r="C301" s="81" t="s">
        <v>16</v>
      </c>
      <c r="D301" s="67">
        <f>6*1.07*1.012/1000</f>
        <v>6.4970399999999999E-3</v>
      </c>
      <c r="E301" s="67"/>
      <c r="F301" s="25"/>
    </row>
    <row r="302" spans="1:28" ht="36" customHeight="1" collapsed="1" x14ac:dyDescent="0.35">
      <c r="A302" s="63">
        <f>A297+1</f>
        <v>135</v>
      </c>
      <c r="B302" s="19" t="s">
        <v>34</v>
      </c>
      <c r="C302" s="15" t="s">
        <v>19</v>
      </c>
      <c r="D302" s="64">
        <f>((0.1*13.5)+(0.1*11)+(0.1*18.5)+(0.08*37)+(0.15*18.5))*2</f>
        <v>20.07</v>
      </c>
      <c r="E302" s="15"/>
      <c r="F302" s="47"/>
    </row>
    <row r="303" spans="1:28" ht="36" customHeight="1" x14ac:dyDescent="0.35">
      <c r="A303" s="63">
        <f>A302+1</f>
        <v>136</v>
      </c>
      <c r="B303" s="19" t="s">
        <v>51</v>
      </c>
      <c r="C303" s="15" t="s">
        <v>19</v>
      </c>
      <c r="D303" s="64">
        <f>((0.1*13.5)+(0.1*11)+(0.1*18.5)+(0.08*37)+(0.15*18.5))*2</f>
        <v>20.07</v>
      </c>
      <c r="E303" s="15"/>
      <c r="F303" s="47"/>
    </row>
    <row r="304" spans="1:28" ht="36" customHeight="1" x14ac:dyDescent="0.35">
      <c r="A304" s="63">
        <f>A303+1</f>
        <v>137</v>
      </c>
      <c r="B304" s="19" t="s">
        <v>52</v>
      </c>
      <c r="C304" s="15" t="s">
        <v>19</v>
      </c>
      <c r="D304" s="64">
        <f>((0.1*13.5)+(0.1*11)+(0.1*18.5)+(0.08*37)+(0.15*18.5))*2</f>
        <v>20.07</v>
      </c>
      <c r="E304" s="15"/>
      <c r="F304" s="47"/>
    </row>
    <row r="305" spans="1:28" s="24" customFormat="1" ht="30" customHeight="1" x14ac:dyDescent="0.4">
      <c r="A305" s="63">
        <f>A304+1</f>
        <v>138</v>
      </c>
      <c r="B305" s="19" t="s">
        <v>89</v>
      </c>
      <c r="C305" s="20" t="s">
        <v>19</v>
      </c>
      <c r="D305" s="64">
        <f>((0.1*13.5)+(0.1*11)+(0.1*18.5)+(0.08*37)+(0.15*18.5))*2</f>
        <v>20.07</v>
      </c>
      <c r="E305" s="77"/>
      <c r="F305" s="25"/>
    </row>
    <row r="306" spans="1:28" s="24" customFormat="1" ht="30" hidden="1" customHeight="1" outlineLevel="1" x14ac:dyDescent="0.4">
      <c r="A306" s="26"/>
      <c r="B306" s="17" t="s">
        <v>88</v>
      </c>
      <c r="C306" s="81" t="s">
        <v>25</v>
      </c>
      <c r="D306" s="82">
        <f>20.1*0.36*2</f>
        <v>14.472000000000001</v>
      </c>
      <c r="E306" s="81">
        <v>1.4999999999999999E-2</v>
      </c>
      <c r="F306" s="25"/>
    </row>
    <row r="307" spans="1:28" s="46" customFormat="1" ht="21" customHeight="1" collapsed="1" x14ac:dyDescent="0.35">
      <c r="A307" s="116" t="s">
        <v>186</v>
      </c>
      <c r="B307" s="116"/>
      <c r="C307" s="116"/>
      <c r="D307" s="116"/>
      <c r="E307" s="116"/>
      <c r="F307" s="41"/>
      <c r="G307" s="42"/>
      <c r="H307" s="43"/>
      <c r="I307" s="44"/>
      <c r="J307" s="44"/>
      <c r="K307" s="45"/>
      <c r="L307" s="45"/>
      <c r="M307" s="45"/>
      <c r="N307" s="43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</row>
    <row r="308" spans="1:28" s="46" customFormat="1" ht="36" customHeight="1" x14ac:dyDescent="0.35">
      <c r="A308" s="63">
        <f>A305+1</f>
        <v>139</v>
      </c>
      <c r="B308" s="14" t="s">
        <v>80</v>
      </c>
      <c r="C308" s="15" t="s">
        <v>17</v>
      </c>
      <c r="D308" s="77">
        <v>0.09</v>
      </c>
      <c r="E308" s="14"/>
      <c r="F308" s="41"/>
      <c r="G308" s="42"/>
      <c r="H308" s="43"/>
      <c r="I308" s="44"/>
      <c r="J308" s="44"/>
      <c r="K308" s="45"/>
      <c r="L308" s="45"/>
      <c r="M308" s="45"/>
      <c r="N308" s="43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</row>
    <row r="309" spans="1:28" ht="34.5" hidden="1" customHeight="1" outlineLevel="1" x14ac:dyDescent="0.35">
      <c r="A309" s="16"/>
      <c r="B309" s="17" t="s">
        <v>78</v>
      </c>
      <c r="C309" s="18" t="s">
        <v>17</v>
      </c>
      <c r="D309" s="18">
        <v>0.09</v>
      </c>
      <c r="E309" s="17"/>
      <c r="F309" s="47"/>
    </row>
    <row r="310" spans="1:28" ht="33" customHeight="1" collapsed="1" x14ac:dyDescent="0.35">
      <c r="A310" s="63">
        <f>A308+1</f>
        <v>140</v>
      </c>
      <c r="B310" s="14" t="s">
        <v>81</v>
      </c>
      <c r="C310" s="15" t="s">
        <v>17</v>
      </c>
      <c r="D310" s="77">
        <v>0.24</v>
      </c>
      <c r="E310" s="15"/>
      <c r="F310" s="31"/>
    </row>
    <row r="311" spans="1:28" s="24" customFormat="1" ht="30" hidden="1" customHeight="1" outlineLevel="1" x14ac:dyDescent="0.4">
      <c r="A311" s="26"/>
      <c r="B311" s="17" t="s">
        <v>83</v>
      </c>
      <c r="C311" s="81" t="s">
        <v>17</v>
      </c>
      <c r="D311" s="18">
        <v>0.24</v>
      </c>
      <c r="E311" s="67"/>
      <c r="F311" s="25"/>
    </row>
    <row r="312" spans="1:28" s="24" customFormat="1" ht="30" customHeight="1" collapsed="1" x14ac:dyDescent="0.4">
      <c r="A312" s="63">
        <f>A310+1</f>
        <v>141</v>
      </c>
      <c r="B312" s="14" t="s">
        <v>442</v>
      </c>
      <c r="C312" s="20" t="s">
        <v>17</v>
      </c>
      <c r="D312" s="77">
        <v>0.26</v>
      </c>
      <c r="E312" s="77"/>
      <c r="F312" s="25"/>
    </row>
    <row r="313" spans="1:28" s="24" customFormat="1" ht="30" hidden="1" customHeight="1" outlineLevel="1" x14ac:dyDescent="0.4">
      <c r="A313" s="26"/>
      <c r="B313" s="17" t="s">
        <v>77</v>
      </c>
      <c r="C313" s="81" t="s">
        <v>17</v>
      </c>
      <c r="D313" s="102">
        <f>0.26*1.26*1.02</f>
        <v>0.334152</v>
      </c>
      <c r="E313" s="81"/>
      <c r="F313" s="25"/>
    </row>
    <row r="314" spans="1:28" s="46" customFormat="1" ht="21" customHeight="1" collapsed="1" x14ac:dyDescent="0.35">
      <c r="A314" s="115" t="s">
        <v>191</v>
      </c>
      <c r="B314" s="115"/>
      <c r="C314" s="115"/>
      <c r="D314" s="115"/>
      <c r="E314" s="115"/>
      <c r="F314" s="41"/>
      <c r="G314" s="42"/>
      <c r="H314" s="43"/>
      <c r="I314" s="44"/>
      <c r="J314" s="44"/>
      <c r="K314" s="45"/>
      <c r="L314" s="45"/>
      <c r="M314" s="45"/>
      <c r="N314" s="43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</row>
    <row r="315" spans="1:28" s="46" customFormat="1" ht="21" customHeight="1" x14ac:dyDescent="0.35">
      <c r="A315" s="116" t="s">
        <v>193</v>
      </c>
      <c r="B315" s="116"/>
      <c r="C315" s="116"/>
      <c r="D315" s="116"/>
      <c r="E315" s="116"/>
      <c r="F315" s="41"/>
      <c r="G315" s="42"/>
      <c r="H315" s="43"/>
      <c r="I315" s="44"/>
      <c r="J315" s="44"/>
      <c r="K315" s="45"/>
      <c r="L315" s="45"/>
      <c r="M315" s="45"/>
      <c r="N315" s="43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</row>
    <row r="316" spans="1:28" s="24" customFormat="1" ht="30" customHeight="1" x14ac:dyDescent="0.4">
      <c r="A316" s="63">
        <f>A312+1</f>
        <v>142</v>
      </c>
      <c r="B316" s="14" t="s">
        <v>80</v>
      </c>
      <c r="C316" s="15" t="s">
        <v>17</v>
      </c>
      <c r="D316" s="77">
        <v>9</v>
      </c>
      <c r="E316" s="77"/>
      <c r="F316" s="25"/>
    </row>
    <row r="317" spans="1:28" s="24" customFormat="1" ht="30" hidden="1" customHeight="1" outlineLevel="1" x14ac:dyDescent="0.4">
      <c r="A317" s="26"/>
      <c r="B317" s="17" t="s">
        <v>78</v>
      </c>
      <c r="C317" s="18" t="s">
        <v>17</v>
      </c>
      <c r="D317" s="18">
        <v>9</v>
      </c>
      <c r="E317" s="81"/>
      <c r="F317" s="25"/>
    </row>
    <row r="318" spans="1:28" ht="30" customHeight="1" collapsed="1" x14ac:dyDescent="0.35">
      <c r="A318" s="63">
        <f>A316+1</f>
        <v>143</v>
      </c>
      <c r="B318" s="14" t="s">
        <v>194</v>
      </c>
      <c r="C318" s="15" t="s">
        <v>17</v>
      </c>
      <c r="D318" s="79">
        <v>22.5</v>
      </c>
      <c r="E318" s="15"/>
      <c r="F318" s="47"/>
    </row>
    <row r="319" spans="1:28" ht="31" hidden="1" customHeight="1" outlineLevel="1" x14ac:dyDescent="0.35">
      <c r="A319" s="16"/>
      <c r="B319" s="17" t="s">
        <v>82</v>
      </c>
      <c r="C319" s="81" t="s">
        <v>16</v>
      </c>
      <c r="D319" s="67">
        <f>((158*5.4*0.888)+(54*14.6*0.888))/1000</f>
        <v>1.4577408000000001</v>
      </c>
      <c r="E319" s="82"/>
      <c r="F319" s="47"/>
    </row>
    <row r="320" spans="1:28" ht="31" hidden="1" customHeight="1" outlineLevel="1" x14ac:dyDescent="0.35">
      <c r="A320" s="73"/>
      <c r="B320" s="17" t="s">
        <v>83</v>
      </c>
      <c r="C320" s="81" t="s">
        <v>17</v>
      </c>
      <c r="D320" s="82">
        <v>22.5</v>
      </c>
      <c r="E320" s="81"/>
      <c r="F320" s="47"/>
    </row>
    <row r="321" spans="1:28" s="46" customFormat="1" ht="21" customHeight="1" collapsed="1" x14ac:dyDescent="0.35">
      <c r="A321" s="115" t="s">
        <v>196</v>
      </c>
      <c r="B321" s="115"/>
      <c r="C321" s="115"/>
      <c r="D321" s="115"/>
      <c r="E321" s="115"/>
      <c r="F321" s="41"/>
      <c r="G321" s="42"/>
      <c r="H321" s="43"/>
      <c r="I321" s="44"/>
      <c r="J321" s="44"/>
      <c r="K321" s="45"/>
      <c r="L321" s="45"/>
      <c r="M321" s="45"/>
      <c r="N321" s="43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</row>
    <row r="322" spans="1:28" ht="36" customHeight="1" x14ac:dyDescent="0.35">
      <c r="A322" s="63">
        <f>A318+1</f>
        <v>144</v>
      </c>
      <c r="B322" s="19" t="s">
        <v>197</v>
      </c>
      <c r="C322" s="15" t="s">
        <v>18</v>
      </c>
      <c r="D322" s="78">
        <v>1</v>
      </c>
      <c r="E322" s="15"/>
      <c r="F322" s="47"/>
    </row>
    <row r="323" spans="1:28" s="24" customFormat="1" ht="30" hidden="1" customHeight="1" outlineLevel="1" x14ac:dyDescent="0.4">
      <c r="A323" s="26"/>
      <c r="B323" s="17" t="s">
        <v>198</v>
      </c>
      <c r="C323" s="81" t="s">
        <v>18</v>
      </c>
      <c r="D323" s="83">
        <v>1</v>
      </c>
      <c r="E323" s="81">
        <v>0.85</v>
      </c>
      <c r="F323" s="25"/>
    </row>
    <row r="324" spans="1:28" s="24" customFormat="1" ht="30" customHeight="1" collapsed="1" x14ac:dyDescent="0.4">
      <c r="A324" s="63">
        <f>A322+1</f>
        <v>145</v>
      </c>
      <c r="B324" s="19" t="s">
        <v>143</v>
      </c>
      <c r="C324" s="20" t="s">
        <v>18</v>
      </c>
      <c r="D324" s="77">
        <v>10</v>
      </c>
      <c r="E324" s="77"/>
      <c r="F324" s="25"/>
    </row>
    <row r="325" spans="1:28" s="24" customFormat="1" ht="30" customHeight="1" x14ac:dyDescent="0.4">
      <c r="A325" s="63">
        <f>A324+1</f>
        <v>146</v>
      </c>
      <c r="B325" s="19" t="s">
        <v>119</v>
      </c>
      <c r="C325" s="20" t="s">
        <v>18</v>
      </c>
      <c r="D325" s="77">
        <v>16</v>
      </c>
      <c r="E325" s="77"/>
      <c r="F325" s="25"/>
    </row>
    <row r="326" spans="1:28" s="24" customFormat="1" ht="30" customHeight="1" x14ac:dyDescent="0.4">
      <c r="A326" s="63">
        <f>A325+1</f>
        <v>147</v>
      </c>
      <c r="B326" s="19" t="s">
        <v>469</v>
      </c>
      <c r="C326" s="20" t="s">
        <v>18</v>
      </c>
      <c r="D326" s="77">
        <v>1</v>
      </c>
      <c r="E326" s="77"/>
      <c r="F326" s="25"/>
    </row>
    <row r="327" spans="1:28" s="24" customFormat="1" ht="30.9" hidden="1" outlineLevel="1" x14ac:dyDescent="0.4">
      <c r="A327" s="26"/>
      <c r="B327" s="17" t="s">
        <v>199</v>
      </c>
      <c r="C327" s="81" t="s">
        <v>18</v>
      </c>
      <c r="D327" s="83">
        <v>1</v>
      </c>
      <c r="E327" s="67">
        <v>0.154</v>
      </c>
      <c r="F327" s="25"/>
    </row>
    <row r="328" spans="1:28" s="46" customFormat="1" ht="36" customHeight="1" collapsed="1" x14ac:dyDescent="0.35">
      <c r="A328" s="63">
        <f>A326+1</f>
        <v>148</v>
      </c>
      <c r="B328" s="19" t="s">
        <v>470</v>
      </c>
      <c r="C328" s="15" t="s">
        <v>18</v>
      </c>
      <c r="D328" s="77">
        <v>4</v>
      </c>
      <c r="E328" s="14"/>
      <c r="F328" s="41"/>
      <c r="G328" s="42"/>
      <c r="H328" s="43"/>
      <c r="I328" s="44"/>
      <c r="J328" s="44"/>
      <c r="K328" s="45"/>
      <c r="L328" s="45"/>
      <c r="M328" s="45"/>
      <c r="N328" s="43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</row>
    <row r="329" spans="1:28" ht="31" hidden="1" customHeight="1" outlineLevel="1" x14ac:dyDescent="0.35">
      <c r="A329" s="16"/>
      <c r="B329" s="17" t="s">
        <v>200</v>
      </c>
      <c r="C329" s="81" t="s">
        <v>18</v>
      </c>
      <c r="D329" s="18">
        <v>1</v>
      </c>
      <c r="E329" s="67">
        <v>2.8000000000000001E-2</v>
      </c>
      <c r="F329" s="47"/>
    </row>
    <row r="330" spans="1:28" s="24" customFormat="1" ht="30" hidden="1" customHeight="1" outlineLevel="1" x14ac:dyDescent="0.4">
      <c r="A330" s="26"/>
      <c r="B330" s="17" t="s">
        <v>202</v>
      </c>
      <c r="C330" s="81" t="s">
        <v>18</v>
      </c>
      <c r="D330" s="18">
        <v>3</v>
      </c>
      <c r="E330" s="18">
        <v>0.03</v>
      </c>
      <c r="F330" s="25"/>
    </row>
    <row r="331" spans="1:28" s="46" customFormat="1" ht="36" customHeight="1" collapsed="1" x14ac:dyDescent="0.35">
      <c r="A331" s="63">
        <f>A328+1</f>
        <v>149</v>
      </c>
      <c r="B331" s="19" t="s">
        <v>471</v>
      </c>
      <c r="C331" s="15" t="s">
        <v>18</v>
      </c>
      <c r="D331" s="77">
        <v>1</v>
      </c>
      <c r="E331" s="14"/>
      <c r="F331" s="41"/>
      <c r="G331" s="42"/>
      <c r="H331" s="43"/>
      <c r="I331" s="44"/>
      <c r="J331" s="44"/>
      <c r="K331" s="45"/>
      <c r="L331" s="45"/>
      <c r="M331" s="45"/>
      <c r="N331" s="43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</row>
    <row r="332" spans="1:28" ht="34.5" hidden="1" customHeight="1" outlineLevel="1" x14ac:dyDescent="0.35">
      <c r="A332" s="16"/>
      <c r="B332" s="17" t="s">
        <v>201</v>
      </c>
      <c r="C332" s="81" t="s">
        <v>18</v>
      </c>
      <c r="D332" s="18">
        <v>1</v>
      </c>
      <c r="E332" s="18">
        <v>0.03</v>
      </c>
      <c r="F332" s="47"/>
    </row>
    <row r="333" spans="1:28" s="46" customFormat="1" ht="36" customHeight="1" collapsed="1" x14ac:dyDescent="0.35">
      <c r="A333" s="63">
        <f>A331+1</f>
        <v>150</v>
      </c>
      <c r="B333" s="19" t="s">
        <v>472</v>
      </c>
      <c r="C333" s="15" t="s">
        <v>18</v>
      </c>
      <c r="D333" s="77">
        <v>8</v>
      </c>
      <c r="E333" s="14"/>
      <c r="F333" s="41"/>
      <c r="G333" s="42"/>
      <c r="H333" s="43"/>
      <c r="I333" s="44"/>
      <c r="J333" s="44"/>
      <c r="K333" s="45"/>
      <c r="L333" s="45"/>
      <c r="M333" s="45"/>
      <c r="N333" s="43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</row>
    <row r="334" spans="1:28" ht="31" hidden="1" customHeight="1" outlineLevel="1" x14ac:dyDescent="0.35">
      <c r="A334" s="16"/>
      <c r="B334" s="17" t="s">
        <v>203</v>
      </c>
      <c r="C334" s="81" t="s">
        <v>18</v>
      </c>
      <c r="D334" s="18">
        <v>8</v>
      </c>
      <c r="E334" s="67">
        <v>0.47199999999999998</v>
      </c>
      <c r="F334" s="47"/>
    </row>
    <row r="335" spans="1:28" s="24" customFormat="1" ht="30.9" collapsed="1" x14ac:dyDescent="0.4">
      <c r="A335" s="63">
        <f>A333+1</f>
        <v>151</v>
      </c>
      <c r="B335" s="19" t="s">
        <v>424</v>
      </c>
      <c r="C335" s="20" t="s">
        <v>23</v>
      </c>
      <c r="D335" s="77">
        <v>15.3</v>
      </c>
      <c r="E335" s="70" t="s">
        <v>265</v>
      </c>
      <c r="F335" s="25"/>
    </row>
    <row r="336" spans="1:28" s="24" customFormat="1" ht="30.9" hidden="1" outlineLevel="1" x14ac:dyDescent="0.4">
      <c r="A336" s="26"/>
      <c r="B336" s="17" t="s">
        <v>148</v>
      </c>
      <c r="C336" s="81" t="s">
        <v>16</v>
      </c>
      <c r="D336" s="67">
        <f>15.3*5.23*1.1/1000</f>
        <v>8.8020900000000013E-2</v>
      </c>
      <c r="E336" s="67"/>
      <c r="F336" s="25"/>
    </row>
    <row r="337" spans="1:6" s="24" customFormat="1" ht="30" hidden="1" customHeight="1" outlineLevel="1" x14ac:dyDescent="0.4">
      <c r="A337" s="26"/>
      <c r="B337" s="17" t="s">
        <v>204</v>
      </c>
      <c r="C337" s="81" t="s">
        <v>18</v>
      </c>
      <c r="D337" s="83">
        <v>1</v>
      </c>
      <c r="E337" s="67">
        <v>1E-3</v>
      </c>
      <c r="F337" s="25"/>
    </row>
    <row r="338" spans="1:6" s="24" customFormat="1" ht="30" hidden="1" customHeight="1" outlineLevel="1" x14ac:dyDescent="0.4">
      <c r="A338" s="26"/>
      <c r="B338" s="17" t="s">
        <v>126</v>
      </c>
      <c r="C338" s="81" t="s">
        <v>18</v>
      </c>
      <c r="D338" s="83">
        <v>7</v>
      </c>
      <c r="E338" s="67">
        <v>5.0000000000000001E-3</v>
      </c>
      <c r="F338" s="25"/>
    </row>
    <row r="339" spans="1:6" s="24" customFormat="1" ht="30" hidden="1" customHeight="1" outlineLevel="1" x14ac:dyDescent="0.4">
      <c r="A339" s="26"/>
      <c r="B339" s="17" t="s">
        <v>205</v>
      </c>
      <c r="C339" s="81" t="s">
        <v>18</v>
      </c>
      <c r="D339" s="83">
        <v>3</v>
      </c>
      <c r="E339" s="67">
        <v>2E-3</v>
      </c>
      <c r="F339" s="25"/>
    </row>
    <row r="340" spans="1:6" s="24" customFormat="1" ht="30" hidden="1" customHeight="1" outlineLevel="1" x14ac:dyDescent="0.4">
      <c r="A340" s="26"/>
      <c r="B340" s="17" t="s">
        <v>206</v>
      </c>
      <c r="C340" s="81" t="s">
        <v>18</v>
      </c>
      <c r="D340" s="83">
        <v>2</v>
      </c>
      <c r="E340" s="67">
        <v>3.0000000000000001E-3</v>
      </c>
      <c r="F340" s="25"/>
    </row>
    <row r="341" spans="1:6" s="24" customFormat="1" ht="30.9" collapsed="1" x14ac:dyDescent="0.4">
      <c r="A341" s="63">
        <f>A335+1</f>
        <v>152</v>
      </c>
      <c r="B341" s="19" t="s">
        <v>435</v>
      </c>
      <c r="C341" s="20" t="s">
        <v>23</v>
      </c>
      <c r="D341" s="77">
        <v>9.1999999999999993</v>
      </c>
      <c r="E341" s="70" t="s">
        <v>265</v>
      </c>
      <c r="F341" s="25"/>
    </row>
    <row r="342" spans="1:6" s="24" customFormat="1" ht="30.9" hidden="1" outlineLevel="1" x14ac:dyDescent="0.4">
      <c r="A342" s="26"/>
      <c r="B342" s="17" t="s">
        <v>207</v>
      </c>
      <c r="C342" s="81" t="s">
        <v>16</v>
      </c>
      <c r="D342" s="67">
        <f>9.2*12.28*1.1/1000</f>
        <v>0.12427359999999998</v>
      </c>
      <c r="E342" s="67"/>
      <c r="F342" s="25"/>
    </row>
    <row r="343" spans="1:6" s="24" customFormat="1" ht="30" hidden="1" customHeight="1" outlineLevel="1" x14ac:dyDescent="0.4">
      <c r="A343" s="26"/>
      <c r="B343" s="17" t="s">
        <v>127</v>
      </c>
      <c r="C343" s="81" t="s">
        <v>18</v>
      </c>
      <c r="D343" s="83">
        <v>2</v>
      </c>
      <c r="E343" s="67">
        <v>5.0000000000000001E-3</v>
      </c>
      <c r="F343" s="25"/>
    </row>
    <row r="344" spans="1:6" s="24" customFormat="1" ht="30.9" collapsed="1" x14ac:dyDescent="0.4">
      <c r="A344" s="63">
        <f>A341+1</f>
        <v>153</v>
      </c>
      <c r="B344" s="19" t="s">
        <v>436</v>
      </c>
      <c r="C344" s="20" t="s">
        <v>23</v>
      </c>
      <c r="D344" s="77">
        <v>34</v>
      </c>
      <c r="E344" s="70" t="s">
        <v>265</v>
      </c>
      <c r="F344" s="25"/>
    </row>
    <row r="345" spans="1:6" s="24" customFormat="1" ht="30.9" hidden="1" outlineLevel="1" x14ac:dyDescent="0.4">
      <c r="A345" s="26"/>
      <c r="B345" s="17" t="s">
        <v>148</v>
      </c>
      <c r="C345" s="81" t="s">
        <v>16</v>
      </c>
      <c r="D345" s="67">
        <f>34*15.98*1.1/1000</f>
        <v>0.59765200000000018</v>
      </c>
      <c r="E345" s="67"/>
      <c r="F345" s="25"/>
    </row>
    <row r="346" spans="1:6" s="24" customFormat="1" ht="30" hidden="1" customHeight="1" outlineLevel="1" x14ac:dyDescent="0.4">
      <c r="A346" s="26"/>
      <c r="B346" s="17" t="s">
        <v>128</v>
      </c>
      <c r="C346" s="81" t="s">
        <v>18</v>
      </c>
      <c r="D346" s="83">
        <v>8</v>
      </c>
      <c r="E346" s="67">
        <v>0.03</v>
      </c>
      <c r="F346" s="25"/>
    </row>
    <row r="347" spans="1:6" s="24" customFormat="1" ht="30" hidden="1" customHeight="1" outlineLevel="1" x14ac:dyDescent="0.4">
      <c r="A347" s="26"/>
      <c r="B347" s="17" t="s">
        <v>208</v>
      </c>
      <c r="C347" s="81" t="s">
        <v>18</v>
      </c>
      <c r="D347" s="83">
        <v>8</v>
      </c>
      <c r="E347" s="67">
        <v>3.5000000000000003E-2</v>
      </c>
      <c r="F347" s="25"/>
    </row>
    <row r="348" spans="1:6" s="24" customFormat="1" ht="30" hidden="1" customHeight="1" outlineLevel="1" x14ac:dyDescent="0.4">
      <c r="A348" s="26"/>
      <c r="B348" s="17" t="s">
        <v>209</v>
      </c>
      <c r="C348" s="81" t="s">
        <v>18</v>
      </c>
      <c r="D348" s="83">
        <v>2</v>
      </c>
      <c r="E348" s="67">
        <v>8.0000000000000002E-3</v>
      </c>
      <c r="F348" s="25"/>
    </row>
    <row r="349" spans="1:6" s="24" customFormat="1" ht="30.9" collapsed="1" x14ac:dyDescent="0.4">
      <c r="A349" s="63">
        <f>A344+1</f>
        <v>154</v>
      </c>
      <c r="B349" s="19" t="s">
        <v>125</v>
      </c>
      <c r="C349" s="20" t="s">
        <v>23</v>
      </c>
      <c r="D349" s="77">
        <v>2</v>
      </c>
      <c r="E349" s="77"/>
      <c r="F349" s="25"/>
    </row>
    <row r="350" spans="1:6" s="24" customFormat="1" ht="30.9" hidden="1" outlineLevel="1" x14ac:dyDescent="0.4">
      <c r="A350" s="26"/>
      <c r="B350" s="17" t="s">
        <v>148</v>
      </c>
      <c r="C350" s="81" t="s">
        <v>16</v>
      </c>
      <c r="D350" s="67">
        <f>2*5.23*1.1/1000</f>
        <v>1.1506000000000002E-2</v>
      </c>
      <c r="E350" s="67"/>
      <c r="F350" s="25"/>
    </row>
    <row r="351" spans="1:6" s="24" customFormat="1" ht="30" customHeight="1" collapsed="1" x14ac:dyDescent="0.4">
      <c r="A351" s="63">
        <f>A349+1</f>
        <v>155</v>
      </c>
      <c r="B351" s="19" t="s">
        <v>132</v>
      </c>
      <c r="C351" s="20" t="s">
        <v>21</v>
      </c>
      <c r="D351" s="77" t="s">
        <v>135</v>
      </c>
      <c r="E351" s="77"/>
      <c r="F351" s="25"/>
    </row>
    <row r="352" spans="1:6" s="24" customFormat="1" ht="30" hidden="1" customHeight="1" outlineLevel="1" x14ac:dyDescent="0.4">
      <c r="A352" s="26"/>
      <c r="B352" s="17" t="s">
        <v>150</v>
      </c>
      <c r="C352" s="81" t="s">
        <v>18</v>
      </c>
      <c r="D352" s="83">
        <v>7</v>
      </c>
      <c r="E352" s="67">
        <v>1.4999999999999999E-2</v>
      </c>
      <c r="F352" s="25"/>
    </row>
    <row r="353" spans="1:6" s="24" customFormat="1" ht="30" hidden="1" customHeight="1" outlineLevel="1" x14ac:dyDescent="0.4">
      <c r="A353" s="26"/>
      <c r="B353" s="17" t="s">
        <v>133</v>
      </c>
      <c r="C353" s="81" t="s">
        <v>18</v>
      </c>
      <c r="D353" s="83">
        <v>2</v>
      </c>
      <c r="E353" s="67">
        <v>4.0000000000000001E-3</v>
      </c>
      <c r="F353" s="25"/>
    </row>
    <row r="354" spans="1:6" s="24" customFormat="1" ht="30" hidden="1" customHeight="1" outlineLevel="1" x14ac:dyDescent="0.4">
      <c r="A354" s="26"/>
      <c r="B354" s="17" t="s">
        <v>210</v>
      </c>
      <c r="C354" s="81" t="s">
        <v>18</v>
      </c>
      <c r="D354" s="83">
        <v>12</v>
      </c>
      <c r="E354" s="67">
        <v>6.5000000000000002E-2</v>
      </c>
      <c r="F354" s="25"/>
    </row>
    <row r="355" spans="1:6" ht="36" customHeight="1" collapsed="1" x14ac:dyDescent="0.35">
      <c r="A355" s="63">
        <f>A351+1</f>
        <v>156</v>
      </c>
      <c r="B355" s="19" t="s">
        <v>34</v>
      </c>
      <c r="C355" s="15" t="s">
        <v>19</v>
      </c>
      <c r="D355" s="23">
        <v>17.48</v>
      </c>
      <c r="E355" s="15"/>
      <c r="F355" s="47"/>
    </row>
    <row r="356" spans="1:6" ht="36" customHeight="1" x14ac:dyDescent="0.35">
      <c r="A356" s="63">
        <f>A355+1</f>
        <v>157</v>
      </c>
      <c r="B356" s="19" t="s">
        <v>51</v>
      </c>
      <c r="C356" s="15" t="s">
        <v>19</v>
      </c>
      <c r="D356" s="23">
        <v>17.48</v>
      </c>
      <c r="E356" s="15"/>
      <c r="F356" s="47"/>
    </row>
    <row r="357" spans="1:6" ht="36" customHeight="1" x14ac:dyDescent="0.35">
      <c r="A357" s="63">
        <f>A356+1</f>
        <v>158</v>
      </c>
      <c r="B357" s="19" t="s">
        <v>52</v>
      </c>
      <c r="C357" s="15" t="s">
        <v>19</v>
      </c>
      <c r="D357" s="23">
        <v>17.48</v>
      </c>
      <c r="E357" s="15"/>
      <c r="F357" s="47"/>
    </row>
    <row r="358" spans="1:6" s="24" customFormat="1" ht="30" customHeight="1" x14ac:dyDescent="0.4">
      <c r="A358" s="63">
        <f>A357+1</f>
        <v>159</v>
      </c>
      <c r="B358" s="19" t="s">
        <v>89</v>
      </c>
      <c r="C358" s="20" t="s">
        <v>19</v>
      </c>
      <c r="D358" s="23">
        <v>17.48</v>
      </c>
      <c r="E358" s="77"/>
      <c r="F358" s="25"/>
    </row>
    <row r="359" spans="1:6" s="24" customFormat="1" ht="30" hidden="1" customHeight="1" outlineLevel="1" x14ac:dyDescent="0.4">
      <c r="A359" s="26"/>
      <c r="B359" s="17" t="s">
        <v>88</v>
      </c>
      <c r="C359" s="81" t="s">
        <v>25</v>
      </c>
      <c r="D359" s="82">
        <f>17.48*2*0.36</f>
        <v>12.585599999999999</v>
      </c>
      <c r="E359" s="81">
        <v>1.2999999999999999E-2</v>
      </c>
      <c r="F359" s="25"/>
    </row>
    <row r="360" spans="1:6" ht="31" customHeight="1" collapsed="1" x14ac:dyDescent="0.35">
      <c r="A360" s="63">
        <f>A358+1</f>
        <v>160</v>
      </c>
      <c r="B360" s="14" t="s">
        <v>42</v>
      </c>
      <c r="C360" s="21" t="s">
        <v>31</v>
      </c>
      <c r="D360" s="15" t="s">
        <v>443</v>
      </c>
      <c r="E360" s="15"/>
      <c r="F360" s="47"/>
    </row>
    <row r="361" spans="1:6" ht="30" hidden="1" customHeight="1" outlineLevel="1" x14ac:dyDescent="0.35">
      <c r="A361" s="16"/>
      <c r="B361" s="17" t="s">
        <v>270</v>
      </c>
      <c r="C361" s="81" t="s">
        <v>18</v>
      </c>
      <c r="D361" s="83">
        <v>16</v>
      </c>
      <c r="E361" s="18"/>
      <c r="F361" s="47"/>
    </row>
    <row r="362" spans="1:6" ht="30" hidden="1" customHeight="1" outlineLevel="1" x14ac:dyDescent="0.35">
      <c r="A362" s="16"/>
      <c r="B362" s="17" t="s">
        <v>271</v>
      </c>
      <c r="C362" s="81" t="s">
        <v>18</v>
      </c>
      <c r="D362" s="83">
        <v>96</v>
      </c>
      <c r="E362" s="18"/>
      <c r="F362" s="47"/>
    </row>
    <row r="363" spans="1:6" ht="31" customHeight="1" collapsed="1" x14ac:dyDescent="0.35">
      <c r="A363" s="63">
        <f>A360+1</f>
        <v>161</v>
      </c>
      <c r="B363" s="14" t="s">
        <v>44</v>
      </c>
      <c r="C363" s="21" t="s">
        <v>31</v>
      </c>
      <c r="D363" s="15" t="s">
        <v>444</v>
      </c>
      <c r="E363" s="15"/>
      <c r="F363" s="47"/>
    </row>
    <row r="364" spans="1:6" ht="30" hidden="1" customHeight="1" outlineLevel="1" x14ac:dyDescent="0.35">
      <c r="A364" s="16"/>
      <c r="B364" s="17" t="s">
        <v>272</v>
      </c>
      <c r="C364" s="81" t="s">
        <v>18</v>
      </c>
      <c r="D364" s="83">
        <v>10</v>
      </c>
      <c r="E364" s="18"/>
      <c r="F364" s="47"/>
    </row>
    <row r="365" spans="1:6" ht="30" hidden="1" customHeight="1" outlineLevel="1" x14ac:dyDescent="0.35">
      <c r="A365" s="16"/>
      <c r="B365" s="17" t="s">
        <v>273</v>
      </c>
      <c r="C365" s="81" t="s">
        <v>18</v>
      </c>
      <c r="D365" s="83">
        <v>80</v>
      </c>
      <c r="E365" s="18"/>
      <c r="F365" s="47"/>
    </row>
    <row r="366" spans="1:6" ht="31" customHeight="1" collapsed="1" x14ac:dyDescent="0.35">
      <c r="A366" s="63">
        <f>A363+1</f>
        <v>162</v>
      </c>
      <c r="B366" s="14" t="s">
        <v>29</v>
      </c>
      <c r="C366" s="21" t="s">
        <v>31</v>
      </c>
      <c r="D366" s="15" t="s">
        <v>445</v>
      </c>
      <c r="E366" s="15"/>
      <c r="F366" s="47"/>
    </row>
    <row r="367" spans="1:6" ht="30" hidden="1" customHeight="1" outlineLevel="1" x14ac:dyDescent="0.35">
      <c r="A367" s="16"/>
      <c r="B367" s="17" t="s">
        <v>431</v>
      </c>
      <c r="C367" s="81" t="s">
        <v>18</v>
      </c>
      <c r="D367" s="83">
        <v>34</v>
      </c>
      <c r="E367" s="18"/>
      <c r="F367" s="47"/>
    </row>
    <row r="368" spans="1:6" ht="30" hidden="1" customHeight="1" outlineLevel="1" x14ac:dyDescent="0.35">
      <c r="A368" s="16"/>
      <c r="B368" s="17" t="s">
        <v>432</v>
      </c>
      <c r="C368" s="81" t="s">
        <v>18</v>
      </c>
      <c r="D368" s="83">
        <v>204</v>
      </c>
      <c r="E368" s="18"/>
      <c r="F368" s="47"/>
    </row>
    <row r="369" spans="1:28" ht="30" customHeight="1" collapsed="1" x14ac:dyDescent="0.35">
      <c r="A369" s="63">
        <f>A366+1</f>
        <v>163</v>
      </c>
      <c r="B369" s="19" t="s">
        <v>277</v>
      </c>
      <c r="C369" s="20" t="s">
        <v>32</v>
      </c>
      <c r="D369" s="77" t="s">
        <v>447</v>
      </c>
      <c r="E369" s="77"/>
      <c r="F369" s="47"/>
    </row>
    <row r="370" spans="1:28" ht="30" hidden="1" customHeight="1" outlineLevel="1" x14ac:dyDescent="0.35">
      <c r="A370" s="16"/>
      <c r="B370" s="17" t="s">
        <v>274</v>
      </c>
      <c r="C370" s="81" t="s">
        <v>18</v>
      </c>
      <c r="D370" s="81">
        <v>4</v>
      </c>
      <c r="E370" s="18"/>
      <c r="F370" s="47"/>
    </row>
    <row r="371" spans="1:28" ht="30" hidden="1" customHeight="1" outlineLevel="1" x14ac:dyDescent="0.35">
      <c r="A371" s="16"/>
      <c r="B371" s="17" t="s">
        <v>446</v>
      </c>
      <c r="C371" s="81" t="s">
        <v>18</v>
      </c>
      <c r="D371" s="81">
        <v>3</v>
      </c>
      <c r="E371" s="18"/>
      <c r="F371" s="47"/>
    </row>
    <row r="372" spans="1:28" ht="30" customHeight="1" collapsed="1" x14ac:dyDescent="0.35">
      <c r="A372" s="63">
        <f>A369+1</f>
        <v>164</v>
      </c>
      <c r="B372" s="19" t="s">
        <v>43</v>
      </c>
      <c r="C372" s="20" t="s">
        <v>32</v>
      </c>
      <c r="D372" s="77" t="s">
        <v>418</v>
      </c>
      <c r="E372" s="77"/>
      <c r="F372" s="47"/>
    </row>
    <row r="373" spans="1:28" ht="30" hidden="1" customHeight="1" outlineLevel="1" x14ac:dyDescent="0.35">
      <c r="A373" s="16"/>
      <c r="B373" s="17" t="s">
        <v>276</v>
      </c>
      <c r="C373" s="81" t="s">
        <v>18</v>
      </c>
      <c r="D373" s="81">
        <v>2</v>
      </c>
      <c r="E373" s="18"/>
      <c r="F373" s="47"/>
    </row>
    <row r="374" spans="1:28" ht="30" customHeight="1" collapsed="1" x14ac:dyDescent="0.35">
      <c r="A374" s="63">
        <f>A372+1</f>
        <v>165</v>
      </c>
      <c r="B374" s="19" t="s">
        <v>33</v>
      </c>
      <c r="C374" s="20" t="s">
        <v>32</v>
      </c>
      <c r="D374" s="77" t="s">
        <v>448</v>
      </c>
      <c r="E374" s="77"/>
      <c r="F374" s="47"/>
    </row>
    <row r="375" spans="1:28" ht="30" hidden="1" customHeight="1" outlineLevel="1" x14ac:dyDescent="0.35">
      <c r="A375" s="16"/>
      <c r="B375" s="17" t="s">
        <v>370</v>
      </c>
      <c r="C375" s="81" t="s">
        <v>18</v>
      </c>
      <c r="D375" s="81">
        <v>8</v>
      </c>
      <c r="E375" s="18"/>
      <c r="F375" s="47"/>
    </row>
    <row r="376" spans="1:28" ht="30" hidden="1" customHeight="1" outlineLevel="1" x14ac:dyDescent="0.35">
      <c r="A376" s="16"/>
      <c r="B376" s="17" t="s">
        <v>446</v>
      </c>
      <c r="C376" s="81" t="s">
        <v>18</v>
      </c>
      <c r="D376" s="81">
        <v>8</v>
      </c>
      <c r="E376" s="18"/>
      <c r="F376" s="47"/>
    </row>
    <row r="377" spans="1:28" ht="30" customHeight="1" collapsed="1" x14ac:dyDescent="0.35">
      <c r="A377" s="63">
        <f>A374+1</f>
        <v>166</v>
      </c>
      <c r="B377" s="19" t="s">
        <v>280</v>
      </c>
      <c r="C377" s="20" t="s">
        <v>18</v>
      </c>
      <c r="D377" s="77">
        <v>13</v>
      </c>
      <c r="E377" s="77"/>
      <c r="F377" s="47"/>
    </row>
    <row r="378" spans="1:28" ht="30" hidden="1" customHeight="1" outlineLevel="1" x14ac:dyDescent="0.35">
      <c r="A378" s="16"/>
      <c r="B378" s="17" t="s">
        <v>279</v>
      </c>
      <c r="C378" s="81" t="s">
        <v>18</v>
      </c>
      <c r="D378" s="18">
        <v>5</v>
      </c>
      <c r="E378" s="18"/>
      <c r="F378" s="47"/>
    </row>
    <row r="379" spans="1:28" ht="30" hidden="1" customHeight="1" outlineLevel="1" x14ac:dyDescent="0.35">
      <c r="A379" s="16"/>
      <c r="B379" s="17" t="s">
        <v>281</v>
      </c>
      <c r="C379" s="81" t="s">
        <v>18</v>
      </c>
      <c r="D379" s="18">
        <v>8</v>
      </c>
      <c r="E379" s="18"/>
      <c r="F379" s="47"/>
    </row>
    <row r="380" spans="1:28" s="46" customFormat="1" ht="21" customHeight="1" collapsed="1" x14ac:dyDescent="0.35">
      <c r="A380" s="115" t="s">
        <v>211</v>
      </c>
      <c r="B380" s="115"/>
      <c r="C380" s="115"/>
      <c r="D380" s="115"/>
      <c r="E380" s="115"/>
      <c r="F380" s="41"/>
      <c r="G380" s="42"/>
      <c r="H380" s="43"/>
      <c r="I380" s="44"/>
      <c r="J380" s="44"/>
      <c r="K380" s="45"/>
      <c r="L380" s="45"/>
      <c r="M380" s="45"/>
      <c r="N380" s="43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</row>
    <row r="381" spans="1:28" s="24" customFormat="1" ht="30" customHeight="1" x14ac:dyDescent="0.4">
      <c r="A381" s="63">
        <f>A377+1</f>
        <v>167</v>
      </c>
      <c r="B381" s="19" t="s">
        <v>152</v>
      </c>
      <c r="C381" s="20" t="s">
        <v>23</v>
      </c>
      <c r="D381" s="77">
        <v>280</v>
      </c>
      <c r="E381" s="77"/>
      <c r="F381" s="25"/>
    </row>
    <row r="382" spans="1:28" s="24" customFormat="1" ht="30" hidden="1" customHeight="1" outlineLevel="1" x14ac:dyDescent="0.4">
      <c r="A382" s="26"/>
      <c r="B382" s="17" t="s">
        <v>153</v>
      </c>
      <c r="C382" s="81" t="s">
        <v>16</v>
      </c>
      <c r="D382" s="67">
        <f>280*1.26/1000</f>
        <v>0.3528</v>
      </c>
      <c r="E382" s="67"/>
      <c r="F382" s="25"/>
    </row>
    <row r="383" spans="1:28" ht="36" customHeight="1" collapsed="1" x14ac:dyDescent="0.35">
      <c r="A383" s="63">
        <f>A381+1</f>
        <v>168</v>
      </c>
      <c r="B383" s="19" t="s">
        <v>154</v>
      </c>
      <c r="C383" s="15" t="s">
        <v>18</v>
      </c>
      <c r="D383" s="78">
        <v>14</v>
      </c>
      <c r="E383" s="15"/>
      <c r="F383" s="47"/>
    </row>
    <row r="384" spans="1:28" s="24" customFormat="1" ht="30" hidden="1" customHeight="1" outlineLevel="1" x14ac:dyDescent="0.4">
      <c r="A384" s="26"/>
      <c r="B384" s="17" t="s">
        <v>155</v>
      </c>
      <c r="C384" s="81" t="s">
        <v>16</v>
      </c>
      <c r="D384" s="67">
        <f>70*1.58/1000</f>
        <v>0.1106</v>
      </c>
      <c r="E384" s="67"/>
      <c r="F384" s="25"/>
    </row>
    <row r="385" spans="1:28" ht="36" customHeight="1" collapsed="1" x14ac:dyDescent="0.35">
      <c r="A385" s="63">
        <f>A383+1</f>
        <v>169</v>
      </c>
      <c r="B385" s="19" t="s">
        <v>35</v>
      </c>
      <c r="C385" s="15" t="s">
        <v>23</v>
      </c>
      <c r="D385" s="64">
        <v>40</v>
      </c>
      <c r="E385" s="15"/>
      <c r="F385" s="47"/>
    </row>
    <row r="386" spans="1:28" s="24" customFormat="1" ht="30" hidden="1" customHeight="1" outlineLevel="1" x14ac:dyDescent="0.4">
      <c r="A386" s="26"/>
      <c r="B386" s="17" t="s">
        <v>156</v>
      </c>
      <c r="C386" s="81" t="s">
        <v>23</v>
      </c>
      <c r="D386" s="83">
        <v>40</v>
      </c>
      <c r="E386" s="67"/>
      <c r="F386" s="25"/>
    </row>
    <row r="387" spans="1:28" s="24" customFormat="1" ht="30" hidden="1" customHeight="1" outlineLevel="1" x14ac:dyDescent="0.4">
      <c r="A387" s="26"/>
      <c r="B387" s="17" t="s">
        <v>157</v>
      </c>
      <c r="C387" s="81" t="s">
        <v>18</v>
      </c>
      <c r="D387" s="83">
        <v>80</v>
      </c>
      <c r="E387" s="67"/>
      <c r="F387" s="25"/>
    </row>
    <row r="388" spans="1:28" s="24" customFormat="1" ht="30" hidden="1" customHeight="1" outlineLevel="1" x14ac:dyDescent="0.4">
      <c r="A388" s="26"/>
      <c r="B388" s="17" t="s">
        <v>158</v>
      </c>
      <c r="C388" s="81" t="s">
        <v>18</v>
      </c>
      <c r="D388" s="83">
        <v>80</v>
      </c>
      <c r="E388" s="67"/>
      <c r="F388" s="25"/>
    </row>
    <row r="389" spans="1:28" s="24" customFormat="1" ht="30" hidden="1" customHeight="1" outlineLevel="1" x14ac:dyDescent="0.4">
      <c r="A389" s="26"/>
      <c r="B389" s="17" t="s">
        <v>159</v>
      </c>
      <c r="C389" s="81" t="s">
        <v>18</v>
      </c>
      <c r="D389" s="83">
        <v>80</v>
      </c>
      <c r="E389" s="67"/>
      <c r="F389" s="25"/>
    </row>
    <row r="390" spans="1:28" s="24" customFormat="1" ht="30" hidden="1" customHeight="1" outlineLevel="1" x14ac:dyDescent="0.4">
      <c r="A390" s="26"/>
      <c r="B390" s="17" t="s">
        <v>160</v>
      </c>
      <c r="C390" s="81" t="s">
        <v>18</v>
      </c>
      <c r="D390" s="83">
        <v>160</v>
      </c>
      <c r="E390" s="67"/>
      <c r="F390" s="25"/>
    </row>
    <row r="391" spans="1:28" s="46" customFormat="1" ht="30" customHeight="1" collapsed="1" x14ac:dyDescent="0.35">
      <c r="A391" s="118" t="s">
        <v>213</v>
      </c>
      <c r="B391" s="118"/>
      <c r="C391" s="118"/>
      <c r="D391" s="118"/>
      <c r="E391" s="118"/>
      <c r="F391" s="41"/>
      <c r="G391" s="42"/>
      <c r="H391" s="43"/>
      <c r="I391" s="44"/>
      <c r="J391" s="44"/>
      <c r="K391" s="45"/>
      <c r="L391" s="45"/>
      <c r="M391" s="45"/>
      <c r="N391" s="43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</row>
    <row r="392" spans="1:28" s="46" customFormat="1" ht="21" customHeight="1" x14ac:dyDescent="0.35">
      <c r="A392" s="115" t="s">
        <v>212</v>
      </c>
      <c r="B392" s="115"/>
      <c r="C392" s="115"/>
      <c r="D392" s="115"/>
      <c r="E392" s="115"/>
      <c r="F392" s="41"/>
      <c r="G392" s="42"/>
      <c r="H392" s="43"/>
      <c r="I392" s="44"/>
      <c r="J392" s="44"/>
      <c r="K392" s="45"/>
      <c r="L392" s="45"/>
      <c r="M392" s="45"/>
      <c r="N392" s="43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</row>
    <row r="393" spans="1:28" ht="33" customHeight="1" x14ac:dyDescent="0.35">
      <c r="A393" s="63">
        <f>A385+1</f>
        <v>170</v>
      </c>
      <c r="B393" s="14" t="s">
        <v>214</v>
      </c>
      <c r="C393" s="15" t="s">
        <v>17</v>
      </c>
      <c r="D393" s="64">
        <f>11.7*4.2*0.4</f>
        <v>19.656000000000002</v>
      </c>
      <c r="E393" s="15"/>
      <c r="F393" s="31"/>
    </row>
    <row r="394" spans="1:28" s="24" customFormat="1" ht="30" customHeight="1" x14ac:dyDescent="0.4">
      <c r="A394" s="63">
        <f>A393+1</f>
        <v>171</v>
      </c>
      <c r="B394" s="19" t="s">
        <v>218</v>
      </c>
      <c r="C394" s="20" t="s">
        <v>19</v>
      </c>
      <c r="D394" s="23">
        <f>11.7*4.2</f>
        <v>49.14</v>
      </c>
      <c r="E394" s="77"/>
      <c r="F394" s="25"/>
    </row>
    <row r="395" spans="1:28" s="24" customFormat="1" ht="30" customHeight="1" x14ac:dyDescent="0.4">
      <c r="A395" s="63">
        <f>A394+1</f>
        <v>172</v>
      </c>
      <c r="B395" s="19" t="s">
        <v>449</v>
      </c>
      <c r="C395" s="20" t="s">
        <v>17</v>
      </c>
      <c r="D395" s="77">
        <v>11.3</v>
      </c>
      <c r="E395" s="77"/>
      <c r="F395" s="25"/>
    </row>
    <row r="396" spans="1:28" s="24" customFormat="1" ht="30" hidden="1" customHeight="1" outlineLevel="1" x14ac:dyDescent="0.4">
      <c r="A396" s="26"/>
      <c r="B396" s="17" t="s">
        <v>77</v>
      </c>
      <c r="C396" s="81" t="s">
        <v>17</v>
      </c>
      <c r="D396" s="76">
        <f>11.3*1.26*1.02</f>
        <v>14.522760000000002</v>
      </c>
      <c r="E396" s="67"/>
      <c r="F396" s="25"/>
    </row>
    <row r="397" spans="1:28" s="24" customFormat="1" ht="30" customHeight="1" collapsed="1" x14ac:dyDescent="0.4">
      <c r="A397" s="63">
        <f>A395+1</f>
        <v>173</v>
      </c>
      <c r="B397" s="19" t="s">
        <v>217</v>
      </c>
      <c r="C397" s="20" t="s">
        <v>17</v>
      </c>
      <c r="D397" s="77">
        <v>1.71</v>
      </c>
      <c r="E397" s="77"/>
      <c r="F397" s="25"/>
    </row>
    <row r="398" spans="1:28" s="24" customFormat="1" ht="30" hidden="1" customHeight="1" outlineLevel="1" x14ac:dyDescent="0.4">
      <c r="A398" s="26"/>
      <c r="B398" s="17" t="s">
        <v>72</v>
      </c>
      <c r="C398" s="81" t="s">
        <v>17</v>
      </c>
      <c r="D398" s="82">
        <f>1.71*1.2*1.02</f>
        <v>2.0930400000000002</v>
      </c>
      <c r="E398" s="67"/>
      <c r="F398" s="25"/>
    </row>
    <row r="399" spans="1:28" ht="33" customHeight="1" collapsed="1" x14ac:dyDescent="0.35">
      <c r="A399" s="63">
        <f>A397+1</f>
        <v>174</v>
      </c>
      <c r="B399" s="14" t="s">
        <v>215</v>
      </c>
      <c r="C399" s="15" t="s">
        <v>17</v>
      </c>
      <c r="D399" s="77">
        <v>5.34</v>
      </c>
      <c r="E399" s="15"/>
      <c r="F399" s="31"/>
    </row>
    <row r="400" spans="1:28" s="24" customFormat="1" ht="30" hidden="1" customHeight="1" outlineLevel="1" x14ac:dyDescent="0.4">
      <c r="A400" s="26"/>
      <c r="B400" s="17" t="s">
        <v>216</v>
      </c>
      <c r="C400" s="81" t="s">
        <v>18</v>
      </c>
      <c r="D400" s="83">
        <v>6</v>
      </c>
      <c r="E400" s="82">
        <v>13.2</v>
      </c>
      <c r="F400" s="25"/>
    </row>
    <row r="401" spans="1:28" s="24" customFormat="1" ht="30" customHeight="1" collapsed="1" x14ac:dyDescent="0.4">
      <c r="A401" s="63">
        <f>A399+1</f>
        <v>175</v>
      </c>
      <c r="B401" s="19" t="s">
        <v>473</v>
      </c>
      <c r="C401" s="20" t="s">
        <v>18</v>
      </c>
      <c r="D401" s="77">
        <v>1</v>
      </c>
      <c r="E401" s="77"/>
      <c r="F401" s="25"/>
    </row>
    <row r="402" spans="1:28" s="24" customFormat="1" ht="30" hidden="1" customHeight="1" outlineLevel="1" x14ac:dyDescent="0.4">
      <c r="A402" s="26"/>
      <c r="B402" s="17" t="s">
        <v>219</v>
      </c>
      <c r="C402" s="81" t="s">
        <v>18</v>
      </c>
      <c r="D402" s="83">
        <v>1</v>
      </c>
      <c r="E402" s="67">
        <v>2.097</v>
      </c>
      <c r="F402" s="25"/>
    </row>
    <row r="403" spans="1:28" s="46" customFormat="1" ht="21" customHeight="1" collapsed="1" x14ac:dyDescent="0.35">
      <c r="A403" s="115" t="s">
        <v>310</v>
      </c>
      <c r="B403" s="115"/>
      <c r="C403" s="115"/>
      <c r="D403" s="115"/>
      <c r="E403" s="115"/>
      <c r="F403" s="41"/>
      <c r="G403" s="42"/>
      <c r="H403" s="43"/>
      <c r="I403" s="44"/>
      <c r="J403" s="44"/>
      <c r="K403" s="45"/>
      <c r="L403" s="45"/>
      <c r="M403" s="45"/>
      <c r="N403" s="43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</row>
    <row r="404" spans="1:28" s="40" customFormat="1" ht="31" customHeight="1" x14ac:dyDescent="0.35">
      <c r="A404" s="63">
        <f>A401+1</f>
        <v>176</v>
      </c>
      <c r="B404" s="14" t="s">
        <v>49</v>
      </c>
      <c r="C404" s="15" t="s">
        <v>17</v>
      </c>
      <c r="D404" s="79">
        <f>3*3*2.1*3</f>
        <v>56.7</v>
      </c>
      <c r="E404" s="69"/>
      <c r="F404" s="36"/>
      <c r="G404" s="37"/>
      <c r="H404" s="38"/>
      <c r="I404" s="37"/>
      <c r="J404" s="37"/>
      <c r="K404" s="39"/>
      <c r="L404" s="39"/>
      <c r="M404" s="39"/>
      <c r="N404" s="38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</row>
    <row r="405" spans="1:28" ht="33" customHeight="1" x14ac:dyDescent="0.35">
      <c r="A405" s="63">
        <f>A404+1</f>
        <v>177</v>
      </c>
      <c r="B405" s="14" t="s">
        <v>311</v>
      </c>
      <c r="C405" s="15" t="s">
        <v>32</v>
      </c>
      <c r="D405" s="77" t="s">
        <v>312</v>
      </c>
      <c r="E405" s="15"/>
      <c r="F405" s="31"/>
    </row>
    <row r="406" spans="1:28" ht="34.5" hidden="1" customHeight="1" outlineLevel="1" x14ac:dyDescent="0.35">
      <c r="A406" s="16"/>
      <c r="B406" s="17" t="s">
        <v>313</v>
      </c>
      <c r="C406" s="18" t="s">
        <v>17</v>
      </c>
      <c r="D406" s="18">
        <v>23.2</v>
      </c>
      <c r="E406" s="18"/>
      <c r="F406" s="47"/>
    </row>
    <row r="407" spans="1:28" ht="31" customHeight="1" collapsed="1" x14ac:dyDescent="0.35">
      <c r="A407" s="63">
        <f>A405+1</f>
        <v>178</v>
      </c>
      <c r="B407" s="14" t="s">
        <v>314</v>
      </c>
      <c r="C407" s="15" t="s">
        <v>21</v>
      </c>
      <c r="D407" s="79" t="s">
        <v>451</v>
      </c>
      <c r="E407" s="15"/>
      <c r="F407" s="47"/>
    </row>
    <row r="408" spans="1:28" ht="31" hidden="1" customHeight="1" outlineLevel="1" x14ac:dyDescent="0.35">
      <c r="A408" s="16"/>
      <c r="B408" s="17" t="s">
        <v>450</v>
      </c>
      <c r="C408" s="81" t="s">
        <v>16</v>
      </c>
      <c r="D408" s="67">
        <f>0.009*3*1.012</f>
        <v>2.7323999999999998E-2</v>
      </c>
      <c r="E408" s="81"/>
      <c r="F408" s="47"/>
    </row>
    <row r="409" spans="1:28" ht="31" hidden="1" customHeight="1" outlineLevel="1" x14ac:dyDescent="0.35">
      <c r="A409" s="16"/>
      <c r="B409" s="17" t="s">
        <v>315</v>
      </c>
      <c r="C409" s="81" t="s">
        <v>16</v>
      </c>
      <c r="D409" s="67">
        <f>2*9.22*3/1000</f>
        <v>5.5320000000000008E-2</v>
      </c>
      <c r="E409" s="81"/>
      <c r="F409" s="47"/>
    </row>
    <row r="410" spans="1:28" ht="31" hidden="1" customHeight="1" outlineLevel="1" x14ac:dyDescent="0.35">
      <c r="A410" s="16"/>
      <c r="B410" s="17" t="s">
        <v>316</v>
      </c>
      <c r="C410" s="81" t="s">
        <v>16</v>
      </c>
      <c r="D410" s="67">
        <f>0.004*3*1.012</f>
        <v>1.2144E-2</v>
      </c>
      <c r="E410" s="81"/>
      <c r="F410" s="47"/>
    </row>
    <row r="411" spans="1:28" ht="31" customHeight="1" collapsed="1" x14ac:dyDescent="0.35">
      <c r="A411" s="63">
        <f>A407+1</f>
        <v>179</v>
      </c>
      <c r="B411" s="14" t="s">
        <v>317</v>
      </c>
      <c r="C411" s="15" t="s">
        <v>21</v>
      </c>
      <c r="D411" s="79" t="s">
        <v>451</v>
      </c>
      <c r="E411" s="15"/>
      <c r="F411" s="47"/>
    </row>
    <row r="412" spans="1:28" ht="31" customHeight="1" x14ac:dyDescent="0.35">
      <c r="A412" s="63">
        <f>A411+1</f>
        <v>180</v>
      </c>
      <c r="B412" s="14" t="s">
        <v>318</v>
      </c>
      <c r="C412" s="15" t="s">
        <v>19</v>
      </c>
      <c r="D412" s="79">
        <f>5.25+5.25+3.75+3.75</f>
        <v>18</v>
      </c>
      <c r="E412" s="15"/>
      <c r="F412" s="47"/>
    </row>
    <row r="413" spans="1:28" ht="31" hidden="1" customHeight="1" outlineLevel="1" x14ac:dyDescent="0.35">
      <c r="A413" s="16"/>
      <c r="B413" s="17" t="s">
        <v>26</v>
      </c>
      <c r="C413" s="81" t="s">
        <v>25</v>
      </c>
      <c r="D413" s="82">
        <f>18*2*2</f>
        <v>72</v>
      </c>
      <c r="E413" s="81">
        <v>7.1999999999999995E-2</v>
      </c>
      <c r="F413" s="47"/>
    </row>
    <row r="414" spans="1:28" s="46" customFormat="1" ht="30" customHeight="1" collapsed="1" x14ac:dyDescent="0.35">
      <c r="A414" s="118" t="s">
        <v>220</v>
      </c>
      <c r="B414" s="118"/>
      <c r="C414" s="118"/>
      <c r="D414" s="118"/>
      <c r="E414" s="118"/>
      <c r="F414" s="41"/>
      <c r="G414" s="42"/>
      <c r="H414" s="43"/>
      <c r="I414" s="44"/>
      <c r="J414" s="44"/>
      <c r="K414" s="45"/>
      <c r="L414" s="45"/>
      <c r="M414" s="45"/>
      <c r="N414" s="43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</row>
    <row r="415" spans="1:28" s="46" customFormat="1" ht="21" customHeight="1" x14ac:dyDescent="0.35">
      <c r="A415" s="115" t="s">
        <v>221</v>
      </c>
      <c r="B415" s="115"/>
      <c r="C415" s="115"/>
      <c r="D415" s="115"/>
      <c r="E415" s="115"/>
      <c r="F415" s="41"/>
      <c r="G415" s="42"/>
      <c r="H415" s="43"/>
      <c r="I415" s="44"/>
      <c r="J415" s="44"/>
      <c r="K415" s="45"/>
      <c r="L415" s="45"/>
      <c r="M415" s="45"/>
      <c r="N415" s="43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</row>
    <row r="416" spans="1:28" ht="33" customHeight="1" x14ac:dyDescent="0.35">
      <c r="A416" s="63">
        <f>A412+1</f>
        <v>181</v>
      </c>
      <c r="B416" s="14" t="s">
        <v>214</v>
      </c>
      <c r="C416" s="15" t="s">
        <v>17</v>
      </c>
      <c r="D416" s="64">
        <f>16.2*9.2*0.4</f>
        <v>59.616</v>
      </c>
      <c r="E416" s="15"/>
      <c r="F416" s="31"/>
    </row>
    <row r="417" spans="1:28" s="24" customFormat="1" ht="30" customHeight="1" x14ac:dyDescent="0.4">
      <c r="A417" s="63">
        <f>A416+1</f>
        <v>182</v>
      </c>
      <c r="B417" s="19" t="s">
        <v>218</v>
      </c>
      <c r="C417" s="20" t="s">
        <v>19</v>
      </c>
      <c r="D417" s="23">
        <f>16.2*9.2</f>
        <v>149.04</v>
      </c>
      <c r="E417" s="77"/>
      <c r="F417" s="25"/>
    </row>
    <row r="418" spans="1:28" s="24" customFormat="1" ht="30" customHeight="1" x14ac:dyDescent="0.4">
      <c r="A418" s="63">
        <f>A417+1</f>
        <v>183</v>
      </c>
      <c r="B418" s="19" t="s">
        <v>449</v>
      </c>
      <c r="C418" s="20" t="s">
        <v>17</v>
      </c>
      <c r="D418" s="64">
        <v>33.369999999999997</v>
      </c>
      <c r="E418" s="77"/>
      <c r="F418" s="25"/>
    </row>
    <row r="419" spans="1:28" s="24" customFormat="1" ht="30" hidden="1" customHeight="1" outlineLevel="1" x14ac:dyDescent="0.4">
      <c r="A419" s="26"/>
      <c r="B419" s="17" t="s">
        <v>77</v>
      </c>
      <c r="C419" s="81" t="s">
        <v>17</v>
      </c>
      <c r="D419" s="76">
        <f>33.37*1.26*1.02</f>
        <v>42.887124</v>
      </c>
      <c r="E419" s="67"/>
      <c r="F419" s="25"/>
    </row>
    <row r="420" spans="1:28" s="24" customFormat="1" ht="30" customHeight="1" collapsed="1" x14ac:dyDescent="0.4">
      <c r="A420" s="63">
        <f>A418+1</f>
        <v>184</v>
      </c>
      <c r="B420" s="19" t="s">
        <v>217</v>
      </c>
      <c r="C420" s="20" t="s">
        <v>17</v>
      </c>
      <c r="D420" s="77">
        <v>6.36</v>
      </c>
      <c r="E420" s="77"/>
      <c r="F420" s="25"/>
    </row>
    <row r="421" spans="1:28" s="24" customFormat="1" ht="30" hidden="1" customHeight="1" outlineLevel="1" x14ac:dyDescent="0.4">
      <c r="A421" s="26"/>
      <c r="B421" s="17" t="s">
        <v>72</v>
      </c>
      <c r="C421" s="81" t="s">
        <v>17</v>
      </c>
      <c r="D421" s="82">
        <f>6.36*1.2</f>
        <v>7.6319999999999997</v>
      </c>
      <c r="E421" s="67"/>
      <c r="F421" s="25"/>
    </row>
    <row r="422" spans="1:28" ht="33" customHeight="1" collapsed="1" x14ac:dyDescent="0.35">
      <c r="A422" s="63">
        <f>A420+1</f>
        <v>185</v>
      </c>
      <c r="B422" s="14" t="s">
        <v>215</v>
      </c>
      <c r="C422" s="15" t="s">
        <v>17</v>
      </c>
      <c r="D422" s="77">
        <v>17.89</v>
      </c>
      <c r="E422" s="15"/>
      <c r="F422" s="31"/>
    </row>
    <row r="423" spans="1:28" s="24" customFormat="1" ht="30" hidden="1" customHeight="1" outlineLevel="1" x14ac:dyDescent="0.4">
      <c r="A423" s="26"/>
      <c r="B423" s="17" t="s">
        <v>222</v>
      </c>
      <c r="C423" s="81" t="s">
        <v>18</v>
      </c>
      <c r="D423" s="83">
        <v>8</v>
      </c>
      <c r="E423" s="82">
        <v>33.6</v>
      </c>
      <c r="F423" s="25"/>
    </row>
    <row r="424" spans="1:28" s="24" customFormat="1" ht="30" hidden="1" customHeight="1" outlineLevel="1" x14ac:dyDescent="0.4">
      <c r="A424" s="26"/>
      <c r="B424" s="17" t="s">
        <v>216</v>
      </c>
      <c r="C424" s="81" t="s">
        <v>18</v>
      </c>
      <c r="D424" s="83">
        <v>5</v>
      </c>
      <c r="E424" s="82">
        <v>11</v>
      </c>
      <c r="F424" s="25"/>
    </row>
    <row r="425" spans="1:28" s="46" customFormat="1" ht="21" customHeight="1" collapsed="1" x14ac:dyDescent="0.35">
      <c r="A425" s="115" t="s">
        <v>309</v>
      </c>
      <c r="B425" s="115"/>
      <c r="C425" s="115"/>
      <c r="D425" s="115"/>
      <c r="E425" s="115"/>
      <c r="F425" s="41"/>
      <c r="G425" s="42"/>
      <c r="H425" s="43"/>
      <c r="I425" s="44"/>
      <c r="J425" s="44"/>
      <c r="K425" s="45"/>
      <c r="L425" s="45"/>
      <c r="M425" s="45"/>
      <c r="N425" s="43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</row>
    <row r="426" spans="1:28" s="24" customFormat="1" ht="30" customHeight="1" x14ac:dyDescent="0.4">
      <c r="A426" s="63">
        <f>A422+1</f>
        <v>186</v>
      </c>
      <c r="B426" s="19" t="s">
        <v>152</v>
      </c>
      <c r="C426" s="20" t="s">
        <v>23</v>
      </c>
      <c r="D426" s="77">
        <v>85</v>
      </c>
      <c r="E426" s="77"/>
      <c r="F426" s="25"/>
    </row>
    <row r="427" spans="1:28" s="24" customFormat="1" ht="30" hidden="1" customHeight="1" outlineLevel="1" x14ac:dyDescent="0.4">
      <c r="A427" s="26"/>
      <c r="B427" s="17" t="s">
        <v>153</v>
      </c>
      <c r="C427" s="81" t="s">
        <v>16</v>
      </c>
      <c r="D427" s="67">
        <f>85*1.26/1000</f>
        <v>0.1071</v>
      </c>
      <c r="E427" s="67"/>
      <c r="F427" s="25"/>
    </row>
    <row r="428" spans="1:28" ht="36" customHeight="1" collapsed="1" x14ac:dyDescent="0.35">
      <c r="A428" s="63">
        <f>A426+1</f>
        <v>187</v>
      </c>
      <c r="B428" s="19" t="s">
        <v>154</v>
      </c>
      <c r="C428" s="15" t="s">
        <v>18</v>
      </c>
      <c r="D428" s="78">
        <v>14</v>
      </c>
      <c r="E428" s="15"/>
      <c r="F428" s="47"/>
    </row>
    <row r="429" spans="1:28" s="24" customFormat="1" ht="30" hidden="1" customHeight="1" outlineLevel="1" x14ac:dyDescent="0.4">
      <c r="A429" s="26"/>
      <c r="B429" s="17" t="s">
        <v>155</v>
      </c>
      <c r="C429" s="81" t="s">
        <v>16</v>
      </c>
      <c r="D429" s="67">
        <f>70*1.58/1000</f>
        <v>0.1106</v>
      </c>
      <c r="E429" s="67"/>
      <c r="F429" s="25"/>
    </row>
    <row r="430" spans="1:28" s="46" customFormat="1" ht="30" customHeight="1" collapsed="1" x14ac:dyDescent="0.35">
      <c r="A430" s="118" t="s">
        <v>223</v>
      </c>
      <c r="B430" s="118"/>
      <c r="C430" s="118"/>
      <c r="D430" s="118"/>
      <c r="E430" s="118"/>
      <c r="F430" s="41"/>
      <c r="G430" s="42"/>
      <c r="H430" s="43"/>
      <c r="I430" s="44"/>
      <c r="J430" s="44"/>
      <c r="K430" s="45"/>
      <c r="L430" s="45"/>
      <c r="M430" s="45"/>
      <c r="N430" s="43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</row>
    <row r="431" spans="1:28" s="46" customFormat="1" ht="21" customHeight="1" x14ac:dyDescent="0.35">
      <c r="A431" s="115" t="s">
        <v>224</v>
      </c>
      <c r="B431" s="115"/>
      <c r="C431" s="115"/>
      <c r="D431" s="115"/>
      <c r="E431" s="115"/>
      <c r="F431" s="41"/>
      <c r="G431" s="42"/>
      <c r="H431" s="43"/>
      <c r="I431" s="44"/>
      <c r="J431" s="44"/>
      <c r="K431" s="45"/>
      <c r="L431" s="45"/>
      <c r="M431" s="45"/>
      <c r="N431" s="43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</row>
    <row r="432" spans="1:28" ht="33" customHeight="1" x14ac:dyDescent="0.35">
      <c r="A432" s="63">
        <f>A428+1</f>
        <v>188</v>
      </c>
      <c r="B432" s="14" t="s">
        <v>214</v>
      </c>
      <c r="C432" s="15" t="s">
        <v>17</v>
      </c>
      <c r="D432" s="64">
        <f>9*9.2*0.4</f>
        <v>33.119999999999997</v>
      </c>
      <c r="E432" s="15"/>
      <c r="F432" s="31"/>
    </row>
    <row r="433" spans="1:28" s="24" customFormat="1" ht="30" customHeight="1" x14ac:dyDescent="0.4">
      <c r="A433" s="63">
        <f>A432+1</f>
        <v>189</v>
      </c>
      <c r="B433" s="19" t="s">
        <v>218</v>
      </c>
      <c r="C433" s="20" t="s">
        <v>19</v>
      </c>
      <c r="D433" s="23">
        <f>8*7.3</f>
        <v>58.4</v>
      </c>
      <c r="E433" s="77"/>
      <c r="F433" s="25"/>
    </row>
    <row r="434" spans="1:28" s="24" customFormat="1" ht="30" customHeight="1" x14ac:dyDescent="0.4">
      <c r="A434" s="63">
        <f>A433+1</f>
        <v>190</v>
      </c>
      <c r="B434" s="19" t="s">
        <v>50</v>
      </c>
      <c r="C434" s="20" t="s">
        <v>17</v>
      </c>
      <c r="D434" s="64">
        <v>12.14</v>
      </c>
      <c r="E434" s="77"/>
      <c r="F434" s="25"/>
    </row>
    <row r="435" spans="1:28" s="24" customFormat="1" ht="30" hidden="1" customHeight="1" outlineLevel="1" x14ac:dyDescent="0.4">
      <c r="A435" s="26"/>
      <c r="B435" s="17" t="s">
        <v>77</v>
      </c>
      <c r="C435" s="81" t="s">
        <v>17</v>
      </c>
      <c r="D435" s="76">
        <f>12.14*1.26*1.02</f>
        <v>15.602328</v>
      </c>
      <c r="E435" s="67"/>
      <c r="F435" s="25"/>
    </row>
    <row r="436" spans="1:28" ht="33" customHeight="1" collapsed="1" x14ac:dyDescent="0.35">
      <c r="A436" s="63">
        <f>A434+1</f>
        <v>191</v>
      </c>
      <c r="B436" s="14" t="s">
        <v>215</v>
      </c>
      <c r="C436" s="15" t="s">
        <v>17</v>
      </c>
      <c r="D436" s="77">
        <f>3.5*3*0.17*2</f>
        <v>3.5700000000000003</v>
      </c>
      <c r="E436" s="15"/>
      <c r="F436" s="31"/>
    </row>
    <row r="437" spans="1:28" s="24" customFormat="1" ht="30" hidden="1" customHeight="1" outlineLevel="1" x14ac:dyDescent="0.4">
      <c r="A437" s="26"/>
      <c r="B437" s="17" t="s">
        <v>225</v>
      </c>
      <c r="C437" s="81" t="s">
        <v>18</v>
      </c>
      <c r="D437" s="83">
        <v>2</v>
      </c>
      <c r="E437" s="82">
        <v>8.1999999999999993</v>
      </c>
      <c r="F437" s="25"/>
    </row>
    <row r="438" spans="1:28" ht="30" customHeight="1" collapsed="1" x14ac:dyDescent="0.35">
      <c r="A438" s="63">
        <f>A436+1</f>
        <v>192</v>
      </c>
      <c r="B438" s="14" t="s">
        <v>74</v>
      </c>
      <c r="C438" s="15" t="s">
        <v>23</v>
      </c>
      <c r="D438" s="101">
        <v>30</v>
      </c>
      <c r="E438" s="15"/>
      <c r="F438" s="47"/>
    </row>
    <row r="439" spans="1:28" ht="31" hidden="1" customHeight="1" outlineLevel="1" x14ac:dyDescent="0.35">
      <c r="A439" s="16"/>
      <c r="B439" s="17" t="s">
        <v>55</v>
      </c>
      <c r="C439" s="81" t="s">
        <v>18</v>
      </c>
      <c r="D439" s="83">
        <v>30</v>
      </c>
      <c r="E439" s="82">
        <v>3</v>
      </c>
      <c r="F439" s="47"/>
    </row>
    <row r="440" spans="1:28" ht="31" hidden="1" customHeight="1" outlineLevel="1" x14ac:dyDescent="0.35">
      <c r="A440" s="73"/>
      <c r="B440" s="17" t="s">
        <v>78</v>
      </c>
      <c r="C440" s="81" t="s">
        <v>17</v>
      </c>
      <c r="D440" s="102">
        <v>1.99</v>
      </c>
      <c r="E440" s="81"/>
      <c r="F440" s="47"/>
    </row>
    <row r="441" spans="1:28" s="46" customFormat="1" ht="21" customHeight="1" collapsed="1" x14ac:dyDescent="0.35">
      <c r="A441" s="115" t="s">
        <v>226</v>
      </c>
      <c r="B441" s="115"/>
      <c r="C441" s="115"/>
      <c r="D441" s="115"/>
      <c r="E441" s="115"/>
      <c r="F441" s="41"/>
      <c r="G441" s="42"/>
      <c r="H441" s="43"/>
      <c r="I441" s="44"/>
      <c r="J441" s="44"/>
      <c r="K441" s="45"/>
      <c r="L441" s="45"/>
      <c r="M441" s="45"/>
      <c r="N441" s="43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</row>
    <row r="442" spans="1:28" s="46" customFormat="1" ht="21" customHeight="1" x14ac:dyDescent="0.35">
      <c r="A442" s="116" t="s">
        <v>227</v>
      </c>
      <c r="B442" s="116"/>
      <c r="C442" s="116"/>
      <c r="D442" s="116"/>
      <c r="E442" s="116"/>
      <c r="F442" s="41"/>
      <c r="G442" s="42"/>
      <c r="H442" s="43"/>
      <c r="I442" s="44"/>
      <c r="J442" s="44"/>
      <c r="K442" s="45"/>
      <c r="L442" s="45"/>
      <c r="M442" s="45"/>
      <c r="N442" s="43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</row>
    <row r="443" spans="1:28" ht="36" customHeight="1" x14ac:dyDescent="0.35">
      <c r="A443" s="63">
        <f>A438+1</f>
        <v>193</v>
      </c>
      <c r="B443" s="19" t="s">
        <v>49</v>
      </c>
      <c r="C443" s="15" t="s">
        <v>17</v>
      </c>
      <c r="D443" s="64">
        <f>4*2.5*1.75</f>
        <v>17.5</v>
      </c>
      <c r="E443" s="15"/>
      <c r="F443" s="47"/>
    </row>
    <row r="444" spans="1:28" ht="36" customHeight="1" x14ac:dyDescent="0.35">
      <c r="A444" s="63">
        <f>A443+1</f>
        <v>194</v>
      </c>
      <c r="B444" s="19" t="s">
        <v>228</v>
      </c>
      <c r="C444" s="15" t="s">
        <v>32</v>
      </c>
      <c r="D444" s="64" t="s">
        <v>452</v>
      </c>
      <c r="E444" s="15"/>
      <c r="F444" s="47"/>
    </row>
    <row r="445" spans="1:28" ht="36" customHeight="1" x14ac:dyDescent="0.35">
      <c r="A445" s="63">
        <f>A444+1</f>
        <v>195</v>
      </c>
      <c r="B445" s="19" t="s">
        <v>229</v>
      </c>
      <c r="C445" s="15" t="s">
        <v>32</v>
      </c>
      <c r="D445" s="64" t="s">
        <v>453</v>
      </c>
      <c r="E445" s="15"/>
      <c r="F445" s="47"/>
    </row>
    <row r="446" spans="1:28" ht="36" customHeight="1" x14ac:dyDescent="0.35">
      <c r="A446" s="63">
        <f>A445+1</f>
        <v>196</v>
      </c>
      <c r="B446" s="19" t="s">
        <v>230</v>
      </c>
      <c r="C446" s="15" t="s">
        <v>17</v>
      </c>
      <c r="D446" s="23">
        <v>0.74</v>
      </c>
      <c r="E446" s="15"/>
      <c r="F446" s="47"/>
    </row>
    <row r="447" spans="1:28" s="24" customFormat="1" ht="30" hidden="1" customHeight="1" outlineLevel="1" x14ac:dyDescent="0.4">
      <c r="A447" s="26"/>
      <c r="B447" s="17" t="s">
        <v>72</v>
      </c>
      <c r="C447" s="81" t="s">
        <v>17</v>
      </c>
      <c r="D447" s="82">
        <f>0.74*1.2</f>
        <v>0.88800000000000001</v>
      </c>
      <c r="E447" s="81"/>
      <c r="F447" s="25"/>
    </row>
    <row r="448" spans="1:28" s="24" customFormat="1" ht="30" customHeight="1" collapsed="1" x14ac:dyDescent="0.4">
      <c r="A448" s="63">
        <f>A446+1</f>
        <v>197</v>
      </c>
      <c r="B448" s="19" t="s">
        <v>231</v>
      </c>
      <c r="C448" s="15" t="s">
        <v>32</v>
      </c>
      <c r="D448" s="64" t="s">
        <v>453</v>
      </c>
      <c r="E448" s="77"/>
      <c r="F448" s="25"/>
    </row>
    <row r="449" spans="1:28" s="40" customFormat="1" ht="31" customHeight="1" x14ac:dyDescent="0.35">
      <c r="A449" s="63">
        <f>A448+1</f>
        <v>198</v>
      </c>
      <c r="B449" s="14" t="s">
        <v>232</v>
      </c>
      <c r="C449" s="15" t="s">
        <v>32</v>
      </c>
      <c r="D449" s="64" t="s">
        <v>452</v>
      </c>
      <c r="E449" s="69"/>
      <c r="F449" s="36"/>
      <c r="G449" s="37"/>
      <c r="H449" s="38"/>
      <c r="I449" s="37"/>
      <c r="J449" s="37"/>
      <c r="K449" s="39"/>
      <c r="L449" s="39"/>
      <c r="M449" s="39"/>
      <c r="N449" s="38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</row>
    <row r="450" spans="1:28" s="46" customFormat="1" ht="36" customHeight="1" x14ac:dyDescent="0.35">
      <c r="A450" s="63">
        <f>A449+1</f>
        <v>199</v>
      </c>
      <c r="B450" s="14" t="s">
        <v>40</v>
      </c>
      <c r="C450" s="15" t="s">
        <v>19</v>
      </c>
      <c r="D450" s="77">
        <f>((2.4*0.3*2)+(1.2*2.4)+(2.4*2.4*2))*2*2</f>
        <v>63.36</v>
      </c>
      <c r="E450" s="14"/>
      <c r="F450" s="41"/>
      <c r="G450" s="42"/>
      <c r="H450" s="43"/>
      <c r="I450" s="44"/>
      <c r="J450" s="44"/>
      <c r="K450" s="45"/>
      <c r="L450" s="45"/>
      <c r="M450" s="45"/>
      <c r="N450" s="43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</row>
    <row r="451" spans="1:28" ht="34.5" hidden="1" customHeight="1" outlineLevel="1" x14ac:dyDescent="0.35">
      <c r="A451" s="16"/>
      <c r="B451" s="17" t="s">
        <v>26</v>
      </c>
      <c r="C451" s="18" t="s">
        <v>25</v>
      </c>
      <c r="D451" s="76">
        <f>63.36*2</f>
        <v>126.72</v>
      </c>
      <c r="E451" s="17"/>
      <c r="F451" s="47"/>
    </row>
    <row r="452" spans="1:28" s="46" customFormat="1" ht="36" customHeight="1" collapsed="1" x14ac:dyDescent="0.35">
      <c r="A452" s="63">
        <f>A450+1</f>
        <v>200</v>
      </c>
      <c r="B452" s="14" t="s">
        <v>234</v>
      </c>
      <c r="C452" s="15" t="s">
        <v>16</v>
      </c>
      <c r="D452" s="77">
        <v>6.3E-2</v>
      </c>
      <c r="E452" s="14"/>
      <c r="F452" s="41"/>
      <c r="G452" s="42"/>
      <c r="H452" s="43"/>
      <c r="I452" s="44"/>
      <c r="J452" s="44"/>
      <c r="K452" s="45"/>
      <c r="L452" s="45"/>
      <c r="M452" s="45"/>
      <c r="N452" s="43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</row>
    <row r="453" spans="1:28" ht="34.5" hidden="1" customHeight="1" outlineLevel="1" x14ac:dyDescent="0.35">
      <c r="A453" s="16"/>
      <c r="B453" s="17" t="s">
        <v>48</v>
      </c>
      <c r="C453" s="18" t="s">
        <v>16</v>
      </c>
      <c r="D453" s="65">
        <f>0.063*1.012</f>
        <v>6.3756000000000007E-2</v>
      </c>
      <c r="E453" s="17"/>
      <c r="F453" s="47"/>
    </row>
    <row r="454" spans="1:28" s="40" customFormat="1" ht="31" customHeight="1" collapsed="1" x14ac:dyDescent="0.35">
      <c r="A454" s="63">
        <f>A452+1</f>
        <v>201</v>
      </c>
      <c r="B454" s="14" t="s">
        <v>110</v>
      </c>
      <c r="C454" s="15" t="s">
        <v>17</v>
      </c>
      <c r="D454" s="80">
        <v>0.12</v>
      </c>
      <c r="E454" s="69"/>
      <c r="F454" s="36"/>
      <c r="G454" s="37"/>
      <c r="H454" s="38"/>
      <c r="I454" s="37"/>
      <c r="J454" s="37"/>
      <c r="K454" s="39"/>
      <c r="L454" s="39"/>
      <c r="M454" s="39"/>
      <c r="N454" s="38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</row>
    <row r="455" spans="1:28" s="46" customFormat="1" ht="36" customHeight="1" x14ac:dyDescent="0.35">
      <c r="A455" s="63">
        <f>A454+1</f>
        <v>202</v>
      </c>
      <c r="B455" s="19" t="s">
        <v>108</v>
      </c>
      <c r="C455" s="20" t="s">
        <v>107</v>
      </c>
      <c r="D455" s="77" t="s">
        <v>233</v>
      </c>
      <c r="E455" s="14"/>
      <c r="F455" s="41"/>
      <c r="G455" s="42"/>
      <c r="H455" s="43"/>
      <c r="I455" s="44"/>
      <c r="J455" s="44"/>
      <c r="K455" s="45"/>
      <c r="L455" s="45"/>
      <c r="M455" s="45"/>
      <c r="N455" s="43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</row>
    <row r="456" spans="1:28" s="46" customFormat="1" ht="36" hidden="1" customHeight="1" outlineLevel="1" x14ac:dyDescent="0.35">
      <c r="A456" s="73"/>
      <c r="B456" s="103" t="s">
        <v>423</v>
      </c>
      <c r="C456" s="104" t="s">
        <v>17</v>
      </c>
      <c r="D456" s="81">
        <v>0.12</v>
      </c>
      <c r="E456" s="17"/>
      <c r="F456" s="41"/>
      <c r="G456" s="42"/>
      <c r="H456" s="43"/>
      <c r="I456" s="44"/>
      <c r="J456" s="44"/>
      <c r="K456" s="45"/>
      <c r="L456" s="45"/>
      <c r="M456" s="45"/>
      <c r="N456" s="43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</row>
    <row r="457" spans="1:28" s="40" customFormat="1" ht="31" customHeight="1" collapsed="1" x14ac:dyDescent="0.35">
      <c r="A457" s="63">
        <f t="shared" ref="A457" si="1">A455+1</f>
        <v>203</v>
      </c>
      <c r="B457" s="14" t="s">
        <v>73</v>
      </c>
      <c r="C457" s="15" t="s">
        <v>17</v>
      </c>
      <c r="D457" s="79">
        <f>17.5-1.72-5.76-0.9</f>
        <v>9.1199999999999992</v>
      </c>
      <c r="E457" s="69"/>
      <c r="F457" s="36"/>
      <c r="G457" s="37"/>
      <c r="H457" s="38"/>
      <c r="I457" s="37"/>
      <c r="J457" s="37"/>
      <c r="K457" s="39"/>
      <c r="L457" s="39"/>
      <c r="M457" s="39"/>
      <c r="N457" s="38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</row>
    <row r="458" spans="1:28" s="46" customFormat="1" ht="21" customHeight="1" x14ac:dyDescent="0.35">
      <c r="A458" s="115" t="s">
        <v>236</v>
      </c>
      <c r="B458" s="115"/>
      <c r="C458" s="115"/>
      <c r="D458" s="115"/>
      <c r="E458" s="115"/>
      <c r="F458" s="41"/>
      <c r="G458" s="42"/>
      <c r="H458" s="43"/>
      <c r="I458" s="44"/>
      <c r="J458" s="44"/>
      <c r="K458" s="45"/>
      <c r="L458" s="45"/>
      <c r="M458" s="45"/>
      <c r="N458" s="43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</row>
    <row r="459" spans="1:28" s="46" customFormat="1" ht="21" customHeight="1" x14ac:dyDescent="0.35">
      <c r="A459" s="116" t="s">
        <v>235</v>
      </c>
      <c r="B459" s="116"/>
      <c r="C459" s="116"/>
      <c r="D459" s="116"/>
      <c r="E459" s="116"/>
      <c r="F459" s="41"/>
      <c r="G459" s="42"/>
      <c r="H459" s="43"/>
      <c r="I459" s="44"/>
      <c r="J459" s="44"/>
      <c r="K459" s="45"/>
      <c r="L459" s="45"/>
      <c r="M459" s="45"/>
      <c r="N459" s="43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</row>
    <row r="460" spans="1:28" s="46" customFormat="1" ht="36" customHeight="1" x14ac:dyDescent="0.35">
      <c r="A460" s="63">
        <f>A457+1</f>
        <v>204</v>
      </c>
      <c r="B460" s="14" t="s">
        <v>238</v>
      </c>
      <c r="C460" s="15" t="s">
        <v>21</v>
      </c>
      <c r="D460" s="77" t="s">
        <v>239</v>
      </c>
      <c r="E460" s="14"/>
      <c r="F460" s="41"/>
      <c r="G460" s="42"/>
      <c r="H460" s="43"/>
      <c r="I460" s="44"/>
      <c r="J460" s="44"/>
      <c r="K460" s="45"/>
      <c r="L460" s="45"/>
      <c r="M460" s="45"/>
      <c r="N460" s="43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</row>
    <row r="461" spans="1:28" s="24" customFormat="1" ht="30" hidden="1" customHeight="1" outlineLevel="1" x14ac:dyDescent="0.4">
      <c r="A461" s="26"/>
      <c r="B461" s="17" t="s">
        <v>69</v>
      </c>
      <c r="C461" s="81" t="s">
        <v>16</v>
      </c>
      <c r="D461" s="67">
        <f>0.284*8.38*1.012/1000</f>
        <v>2.4084790400000001E-3</v>
      </c>
      <c r="E461" s="81"/>
      <c r="F461" s="25"/>
    </row>
    <row r="462" spans="1:28" s="24" customFormat="1" ht="30" hidden="1" customHeight="1" outlineLevel="1" x14ac:dyDescent="0.4">
      <c r="A462" s="26"/>
      <c r="B462" s="17" t="s">
        <v>58</v>
      </c>
      <c r="C462" s="81" t="s">
        <v>16</v>
      </c>
      <c r="D462" s="67">
        <f>(2.52+2+3.93)*1.012/1000</f>
        <v>8.5513999999999989E-3</v>
      </c>
      <c r="E462" s="67"/>
      <c r="F462" s="25"/>
    </row>
    <row r="463" spans="1:28" s="40" customFormat="1" ht="31" customHeight="1" collapsed="1" x14ac:dyDescent="0.35">
      <c r="A463" s="63">
        <f>A460+1</f>
        <v>205</v>
      </c>
      <c r="B463" s="14" t="s">
        <v>187</v>
      </c>
      <c r="C463" s="15" t="s">
        <v>18</v>
      </c>
      <c r="D463" s="79">
        <v>4</v>
      </c>
      <c r="E463" s="69"/>
      <c r="F463" s="36"/>
      <c r="G463" s="37"/>
      <c r="H463" s="38"/>
      <c r="I463" s="37"/>
      <c r="J463" s="37"/>
      <c r="K463" s="39"/>
      <c r="L463" s="39"/>
      <c r="M463" s="39"/>
      <c r="N463" s="38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</row>
    <row r="464" spans="1:28" ht="33" customHeight="1" x14ac:dyDescent="0.35">
      <c r="A464" s="63">
        <f>A463+1</f>
        <v>206</v>
      </c>
      <c r="B464" s="14" t="s">
        <v>240</v>
      </c>
      <c r="C464" s="15" t="s">
        <v>21</v>
      </c>
      <c r="D464" s="77" t="s">
        <v>190</v>
      </c>
      <c r="E464" s="15"/>
      <c r="F464" s="31"/>
    </row>
    <row r="465" spans="1:28" ht="34.5" hidden="1" customHeight="1" outlineLevel="1" x14ac:dyDescent="0.35">
      <c r="A465" s="16"/>
      <c r="B465" s="17" t="s">
        <v>241</v>
      </c>
      <c r="C465" s="18" t="s">
        <v>18</v>
      </c>
      <c r="D465" s="18">
        <v>4</v>
      </c>
      <c r="E465" s="17"/>
      <c r="F465" s="47"/>
    </row>
    <row r="466" spans="1:28" ht="36" customHeight="1" collapsed="1" x14ac:dyDescent="0.35">
      <c r="A466" s="63">
        <f>A464+1</f>
        <v>207</v>
      </c>
      <c r="B466" s="19" t="s">
        <v>34</v>
      </c>
      <c r="C466" s="15" t="s">
        <v>19</v>
      </c>
      <c r="D466" s="64">
        <f>((0.089*0.284*3.14)+(0.2*0.2*2*2))</f>
        <v>0.23936664000000002</v>
      </c>
      <c r="E466" s="15"/>
      <c r="F466" s="47"/>
    </row>
    <row r="467" spans="1:28" ht="36" customHeight="1" x14ac:dyDescent="0.35">
      <c r="A467" s="63">
        <f>A466+1</f>
        <v>208</v>
      </c>
      <c r="B467" s="19" t="s">
        <v>51</v>
      </c>
      <c r="C467" s="15" t="s">
        <v>19</v>
      </c>
      <c r="D467" s="64">
        <f>((0.089*0.284*3.14)+(0.2*0.2*2*2))</f>
        <v>0.23936664000000002</v>
      </c>
      <c r="E467" s="15"/>
      <c r="F467" s="47"/>
    </row>
    <row r="468" spans="1:28" ht="36" customHeight="1" x14ac:dyDescent="0.35">
      <c r="A468" s="63">
        <f>A467+1</f>
        <v>209</v>
      </c>
      <c r="B468" s="19" t="s">
        <v>52</v>
      </c>
      <c r="C468" s="15" t="s">
        <v>19</v>
      </c>
      <c r="D468" s="64">
        <f>((0.089*0.284*3.14)+(0.2*0.2*2*2))</f>
        <v>0.23936664000000002</v>
      </c>
      <c r="E468" s="15"/>
      <c r="F468" s="47"/>
    </row>
    <row r="469" spans="1:28" s="24" customFormat="1" ht="30" customHeight="1" x14ac:dyDescent="0.4">
      <c r="A469" s="63">
        <f>A468+1</f>
        <v>210</v>
      </c>
      <c r="B469" s="19" t="s">
        <v>89</v>
      </c>
      <c r="C469" s="20" t="s">
        <v>19</v>
      </c>
      <c r="D469" s="64">
        <f>((0.089*0.284*3.14)+(0.2*0.2*2*2))</f>
        <v>0.23936664000000002</v>
      </c>
      <c r="E469" s="77"/>
      <c r="F469" s="25"/>
    </row>
    <row r="470" spans="1:28" s="24" customFormat="1" ht="30" hidden="1" customHeight="1" outlineLevel="1" x14ac:dyDescent="0.4">
      <c r="A470" s="26"/>
      <c r="B470" s="17" t="s">
        <v>88</v>
      </c>
      <c r="C470" s="81" t="s">
        <v>25</v>
      </c>
      <c r="D470" s="82">
        <f>0.2*0.36</f>
        <v>7.1999999999999995E-2</v>
      </c>
      <c r="E470" s="81">
        <v>4.8000000000000001E-2</v>
      </c>
      <c r="F470" s="25"/>
    </row>
    <row r="471" spans="1:28" s="46" customFormat="1" ht="21" customHeight="1" collapsed="1" x14ac:dyDescent="0.35">
      <c r="A471" s="116" t="s">
        <v>237</v>
      </c>
      <c r="B471" s="116"/>
      <c r="C471" s="116"/>
      <c r="D471" s="116"/>
      <c r="E471" s="116"/>
      <c r="F471" s="41"/>
      <c r="G471" s="42"/>
      <c r="H471" s="43"/>
      <c r="I471" s="44"/>
      <c r="J471" s="44"/>
      <c r="K471" s="45"/>
      <c r="L471" s="45"/>
      <c r="M471" s="45"/>
      <c r="N471" s="43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  <c r="AA471" s="45"/>
      <c r="AB471" s="45"/>
    </row>
    <row r="472" spans="1:28" s="46" customFormat="1" ht="36" customHeight="1" x14ac:dyDescent="0.35">
      <c r="A472" s="63">
        <f>A469+1</f>
        <v>211</v>
      </c>
      <c r="B472" s="14" t="s">
        <v>80</v>
      </c>
      <c r="C472" s="15" t="s">
        <v>17</v>
      </c>
      <c r="D472" s="77">
        <f>0.07*8</f>
        <v>0.56000000000000005</v>
      </c>
      <c r="E472" s="14"/>
      <c r="F472" s="41"/>
      <c r="G472" s="42"/>
      <c r="H472" s="43"/>
      <c r="I472" s="44"/>
      <c r="J472" s="44"/>
      <c r="K472" s="45"/>
      <c r="L472" s="45"/>
      <c r="M472" s="45"/>
      <c r="N472" s="43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  <c r="AA472" s="45"/>
      <c r="AB472" s="45"/>
    </row>
    <row r="473" spans="1:28" ht="34.5" hidden="1" customHeight="1" outlineLevel="1" x14ac:dyDescent="0.35">
      <c r="A473" s="16"/>
      <c r="B473" s="17" t="s">
        <v>78</v>
      </c>
      <c r="C473" s="18" t="s">
        <v>17</v>
      </c>
      <c r="D473" s="18">
        <v>0.56000000000000005</v>
      </c>
      <c r="E473" s="17"/>
      <c r="F473" s="47"/>
    </row>
    <row r="474" spans="1:28" ht="33" customHeight="1" collapsed="1" x14ac:dyDescent="0.35">
      <c r="A474" s="63">
        <f>A472+1</f>
        <v>212</v>
      </c>
      <c r="B474" s="14" t="s">
        <v>81</v>
      </c>
      <c r="C474" s="15" t="s">
        <v>17</v>
      </c>
      <c r="D474" s="77">
        <v>2.96</v>
      </c>
      <c r="E474" s="15"/>
      <c r="F474" s="31"/>
    </row>
    <row r="475" spans="1:28" ht="34.5" hidden="1" customHeight="1" outlineLevel="1" x14ac:dyDescent="0.35">
      <c r="A475" s="16"/>
      <c r="B475" s="17" t="s">
        <v>82</v>
      </c>
      <c r="C475" s="18" t="s">
        <v>16</v>
      </c>
      <c r="D475" s="65">
        <f>3.91*8/1000</f>
        <v>3.1280000000000002E-2</v>
      </c>
      <c r="E475" s="18"/>
      <c r="F475" s="47"/>
    </row>
    <row r="476" spans="1:28" s="24" customFormat="1" ht="30" hidden="1" customHeight="1" outlineLevel="1" x14ac:dyDescent="0.4">
      <c r="A476" s="26"/>
      <c r="B476" s="17" t="s">
        <v>83</v>
      </c>
      <c r="C476" s="81" t="s">
        <v>17</v>
      </c>
      <c r="D476" s="18">
        <f>0.37*8</f>
        <v>2.96</v>
      </c>
      <c r="E476" s="67"/>
      <c r="F476" s="25"/>
    </row>
    <row r="477" spans="1:28" s="24" customFormat="1" ht="30" customHeight="1" collapsed="1" x14ac:dyDescent="0.4">
      <c r="A477" s="63">
        <f>A474+1</f>
        <v>213</v>
      </c>
      <c r="B477" s="19" t="s">
        <v>84</v>
      </c>
      <c r="C477" s="20" t="s">
        <v>21</v>
      </c>
      <c r="D477" s="77" t="s">
        <v>245</v>
      </c>
      <c r="E477" s="77"/>
      <c r="F477" s="25"/>
    </row>
    <row r="478" spans="1:28" s="24" customFormat="1" ht="30" hidden="1" customHeight="1" outlineLevel="1" x14ac:dyDescent="0.4">
      <c r="A478" s="26"/>
      <c r="B478" s="17" t="s">
        <v>85</v>
      </c>
      <c r="C478" s="81" t="s">
        <v>18</v>
      </c>
      <c r="D478" s="83">
        <v>8</v>
      </c>
      <c r="E478" s="67">
        <v>2.8000000000000001E-2</v>
      </c>
      <c r="F478" s="25"/>
    </row>
    <row r="479" spans="1:28" s="46" customFormat="1" ht="36" customHeight="1" collapsed="1" x14ac:dyDescent="0.35">
      <c r="A479" s="63">
        <f>A477+1</f>
        <v>214</v>
      </c>
      <c r="B479" s="14" t="s">
        <v>238</v>
      </c>
      <c r="C479" s="15" t="s">
        <v>21</v>
      </c>
      <c r="D479" s="77" t="s">
        <v>246</v>
      </c>
      <c r="E479" s="14"/>
      <c r="F479" s="41"/>
      <c r="G479" s="42"/>
      <c r="H479" s="43"/>
      <c r="I479" s="44"/>
      <c r="J479" s="44"/>
      <c r="K479" s="45"/>
      <c r="L479" s="45"/>
      <c r="M479" s="45"/>
      <c r="N479" s="43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  <c r="AA479" s="45"/>
      <c r="AB479" s="45"/>
    </row>
    <row r="480" spans="1:28" s="24" customFormat="1" ht="30" hidden="1" customHeight="1" outlineLevel="1" x14ac:dyDescent="0.4">
      <c r="A480" s="26"/>
      <c r="B480" s="17" t="s">
        <v>69</v>
      </c>
      <c r="C480" s="81" t="s">
        <v>16</v>
      </c>
      <c r="D480" s="67">
        <v>0.14299999999999999</v>
      </c>
      <c r="E480" s="67"/>
      <c r="F480" s="25"/>
    </row>
    <row r="481" spans="1:28" s="24" customFormat="1" ht="30" hidden="1" customHeight="1" outlineLevel="1" x14ac:dyDescent="0.4">
      <c r="A481" s="26"/>
      <c r="B481" s="17" t="s">
        <v>58</v>
      </c>
      <c r="C481" s="81" t="s">
        <v>16</v>
      </c>
      <c r="D481" s="67">
        <v>0.02</v>
      </c>
      <c r="E481" s="67"/>
      <c r="F481" s="25"/>
    </row>
    <row r="482" spans="1:28" s="24" customFormat="1" ht="30" customHeight="1" collapsed="1" x14ac:dyDescent="0.4">
      <c r="A482" s="63">
        <f>A479+1</f>
        <v>215</v>
      </c>
      <c r="B482" s="19" t="s">
        <v>242</v>
      </c>
      <c r="C482" s="15" t="s">
        <v>21</v>
      </c>
      <c r="D482" s="77" t="s">
        <v>246</v>
      </c>
      <c r="E482" s="77"/>
      <c r="F482" s="25"/>
    </row>
    <row r="483" spans="1:28" ht="36" customHeight="1" x14ac:dyDescent="0.35">
      <c r="A483" s="63">
        <f>A482+1</f>
        <v>216</v>
      </c>
      <c r="B483" s="19" t="s">
        <v>34</v>
      </c>
      <c r="C483" s="15" t="s">
        <v>19</v>
      </c>
      <c r="D483" s="64">
        <f>((0.089*17.06*3.14)+(0.2*0.2*2))*8</f>
        <v>38.780700799999998</v>
      </c>
      <c r="E483" s="15"/>
      <c r="F483" s="47"/>
    </row>
    <row r="484" spans="1:28" ht="36" customHeight="1" x14ac:dyDescent="0.35">
      <c r="A484" s="63">
        <f>A483+1</f>
        <v>217</v>
      </c>
      <c r="B484" s="19" t="s">
        <v>51</v>
      </c>
      <c r="C484" s="15" t="s">
        <v>19</v>
      </c>
      <c r="D484" s="64">
        <f>((0.089*17.06*3.14)+(0.2*0.2*2))*8</f>
        <v>38.780700799999998</v>
      </c>
      <c r="E484" s="15"/>
      <c r="F484" s="47"/>
    </row>
    <row r="485" spans="1:28" ht="36" customHeight="1" x14ac:dyDescent="0.35">
      <c r="A485" s="63">
        <f>A484+1</f>
        <v>218</v>
      </c>
      <c r="B485" s="19" t="s">
        <v>52</v>
      </c>
      <c r="C485" s="15" t="s">
        <v>19</v>
      </c>
      <c r="D485" s="64">
        <f>((0.089*17.06*3.14)+(0.2*0.2*2))*8</f>
        <v>38.780700799999998</v>
      </c>
      <c r="E485" s="15"/>
      <c r="F485" s="47"/>
    </row>
    <row r="486" spans="1:28" s="24" customFormat="1" ht="30" customHeight="1" x14ac:dyDescent="0.4">
      <c r="A486" s="63">
        <f>A485+1</f>
        <v>219</v>
      </c>
      <c r="B486" s="19" t="s">
        <v>89</v>
      </c>
      <c r="C486" s="20" t="s">
        <v>19</v>
      </c>
      <c r="D486" s="64">
        <f>((0.089*17.06*3.14)+(0.2*0.2*2))*8</f>
        <v>38.780700799999998</v>
      </c>
      <c r="E486" s="77"/>
      <c r="F486" s="25"/>
    </row>
    <row r="487" spans="1:28" s="24" customFormat="1" ht="30" hidden="1" customHeight="1" outlineLevel="1" x14ac:dyDescent="0.4">
      <c r="A487" s="26"/>
      <c r="B487" s="17" t="s">
        <v>88</v>
      </c>
      <c r="C487" s="81" t="s">
        <v>25</v>
      </c>
      <c r="D487" s="82">
        <f>38.8*0.36</f>
        <v>13.967999999999998</v>
      </c>
      <c r="E487" s="81">
        <v>1.4E-2</v>
      </c>
      <c r="F487" s="25"/>
    </row>
    <row r="488" spans="1:28" s="46" customFormat="1" ht="21" customHeight="1" collapsed="1" x14ac:dyDescent="0.35">
      <c r="A488" s="115" t="s">
        <v>247</v>
      </c>
      <c r="B488" s="115"/>
      <c r="C488" s="115"/>
      <c r="D488" s="115"/>
      <c r="E488" s="115"/>
      <c r="F488" s="41"/>
      <c r="G488" s="42"/>
      <c r="H488" s="43"/>
      <c r="I488" s="44"/>
      <c r="J488" s="44"/>
      <c r="K488" s="45"/>
      <c r="L488" s="45"/>
      <c r="M488" s="45"/>
      <c r="N488" s="43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  <c r="AA488" s="45"/>
      <c r="AB488" s="45"/>
    </row>
    <row r="489" spans="1:28" s="40" customFormat="1" ht="31" customHeight="1" x14ac:dyDescent="0.35">
      <c r="A489" s="63">
        <f>A486+1</f>
        <v>220</v>
      </c>
      <c r="B489" s="19" t="s">
        <v>474</v>
      </c>
      <c r="C489" s="15" t="s">
        <v>18</v>
      </c>
      <c r="D489" s="78">
        <v>1</v>
      </c>
      <c r="E489" s="85"/>
      <c r="F489" s="36"/>
      <c r="G489" s="37"/>
      <c r="H489" s="38"/>
      <c r="I489" s="37"/>
      <c r="J489" s="37"/>
      <c r="K489" s="39"/>
      <c r="L489" s="39"/>
      <c r="M489" s="39"/>
      <c r="N489" s="38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</row>
    <row r="490" spans="1:28" ht="34.5" hidden="1" customHeight="1" outlineLevel="1" x14ac:dyDescent="0.35">
      <c r="A490" s="16"/>
      <c r="B490" s="17" t="s">
        <v>248</v>
      </c>
      <c r="C490" s="18" t="s">
        <v>18</v>
      </c>
      <c r="D490" s="26">
        <v>1</v>
      </c>
      <c r="E490" s="18">
        <v>2.6</v>
      </c>
      <c r="F490" s="47"/>
    </row>
    <row r="491" spans="1:28" s="46" customFormat="1" ht="46.3" collapsed="1" x14ac:dyDescent="0.35">
      <c r="A491" s="63">
        <f>A489+1</f>
        <v>221</v>
      </c>
      <c r="B491" s="14" t="s">
        <v>249</v>
      </c>
      <c r="C491" s="15" t="s">
        <v>17</v>
      </c>
      <c r="D491" s="77">
        <v>27.03</v>
      </c>
      <c r="E491" s="21"/>
      <c r="F491" s="41"/>
      <c r="G491" s="42"/>
      <c r="H491" s="43"/>
      <c r="I491" s="44"/>
      <c r="J491" s="44"/>
      <c r="K491" s="45"/>
      <c r="L491" s="45"/>
      <c r="M491" s="45"/>
      <c r="N491" s="43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  <c r="AA491" s="45"/>
      <c r="AB491" s="45"/>
    </row>
    <row r="492" spans="1:28" ht="34.5" hidden="1" customHeight="1" outlineLevel="1" x14ac:dyDescent="0.35">
      <c r="A492" s="16"/>
      <c r="B492" s="17" t="s">
        <v>250</v>
      </c>
      <c r="C492" s="18" t="s">
        <v>18</v>
      </c>
      <c r="D492" s="26">
        <v>1</v>
      </c>
      <c r="E492" s="18"/>
      <c r="F492" s="47"/>
    </row>
    <row r="493" spans="1:28" ht="33" customHeight="1" collapsed="1" x14ac:dyDescent="0.35">
      <c r="A493" s="63">
        <f>A491+1</f>
        <v>222</v>
      </c>
      <c r="B493" s="14" t="s">
        <v>251</v>
      </c>
      <c r="C493" s="15" t="s">
        <v>18</v>
      </c>
      <c r="D493" s="77">
        <v>2</v>
      </c>
      <c r="E493" s="15"/>
      <c r="F493" s="31"/>
    </row>
    <row r="494" spans="1:28" ht="34.5" hidden="1" customHeight="1" outlineLevel="1" x14ac:dyDescent="0.35">
      <c r="A494" s="16"/>
      <c r="B494" s="17" t="s">
        <v>252</v>
      </c>
      <c r="C494" s="18" t="s">
        <v>18</v>
      </c>
      <c r="D494" s="18">
        <v>2</v>
      </c>
      <c r="E494" s="18">
        <v>7.1999999999999995E-2</v>
      </c>
      <c r="F494" s="47"/>
    </row>
    <row r="495" spans="1:28" ht="33" customHeight="1" collapsed="1" x14ac:dyDescent="0.35">
      <c r="A495" s="63">
        <f>A493+1</f>
        <v>223</v>
      </c>
      <c r="B495" s="19" t="s">
        <v>119</v>
      </c>
      <c r="C495" s="15" t="s">
        <v>18</v>
      </c>
      <c r="D495" s="77">
        <v>2</v>
      </c>
      <c r="E495" s="15"/>
      <c r="F495" s="31"/>
    </row>
    <row r="496" spans="1:28" ht="33" customHeight="1" x14ac:dyDescent="0.35">
      <c r="A496" s="63">
        <f>A495+1</f>
        <v>224</v>
      </c>
      <c r="B496" s="19" t="s">
        <v>472</v>
      </c>
      <c r="C496" s="15" t="s">
        <v>18</v>
      </c>
      <c r="D496" s="77">
        <v>1</v>
      </c>
      <c r="E496" s="15"/>
      <c r="F496" s="31"/>
    </row>
    <row r="497" spans="1:28" ht="34.5" hidden="1" customHeight="1" outlineLevel="1" x14ac:dyDescent="0.35">
      <c r="A497" s="16"/>
      <c r="B497" s="17" t="s">
        <v>120</v>
      </c>
      <c r="C497" s="18" t="s">
        <v>18</v>
      </c>
      <c r="D497" s="18">
        <v>1</v>
      </c>
      <c r="E497" s="18">
        <v>5.0000000000000001E-3</v>
      </c>
      <c r="F497" s="47"/>
    </row>
    <row r="498" spans="1:28" s="46" customFormat="1" ht="36" customHeight="1" collapsed="1" x14ac:dyDescent="0.35">
      <c r="A498" s="63">
        <f>A496+1</f>
        <v>225</v>
      </c>
      <c r="B498" s="14" t="s">
        <v>253</v>
      </c>
      <c r="C498" s="15" t="s">
        <v>18</v>
      </c>
      <c r="D498" s="77">
        <v>2</v>
      </c>
      <c r="E498" s="21"/>
      <c r="F498" s="41"/>
      <c r="G498" s="42"/>
      <c r="H498" s="43"/>
      <c r="I498" s="44"/>
      <c r="J498" s="44"/>
      <c r="K498" s="45"/>
      <c r="L498" s="45"/>
      <c r="M498" s="45"/>
      <c r="N498" s="43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  <c r="AA498" s="45"/>
      <c r="AB498" s="45"/>
    </row>
    <row r="499" spans="1:28" ht="34.5" hidden="1" customHeight="1" outlineLevel="1" x14ac:dyDescent="0.35">
      <c r="A499" s="16"/>
      <c r="B499" s="17" t="s">
        <v>254</v>
      </c>
      <c r="C499" s="18" t="s">
        <v>18</v>
      </c>
      <c r="D499" s="18">
        <v>2</v>
      </c>
      <c r="E499" s="18">
        <v>0.04</v>
      </c>
      <c r="F499" s="47"/>
    </row>
    <row r="500" spans="1:28" ht="33" customHeight="1" collapsed="1" x14ac:dyDescent="0.35">
      <c r="A500" s="63">
        <f>A498+1</f>
        <v>226</v>
      </c>
      <c r="B500" s="19" t="s">
        <v>143</v>
      </c>
      <c r="C500" s="15" t="s">
        <v>18</v>
      </c>
      <c r="D500" s="77">
        <v>28</v>
      </c>
      <c r="E500" s="15"/>
      <c r="F500" s="31"/>
    </row>
    <row r="501" spans="1:28" ht="33" customHeight="1" x14ac:dyDescent="0.35">
      <c r="A501" s="63">
        <f>A500+1</f>
        <v>227</v>
      </c>
      <c r="B501" s="19" t="s">
        <v>470</v>
      </c>
      <c r="C501" s="15" t="s">
        <v>18</v>
      </c>
      <c r="D501" s="77">
        <v>14</v>
      </c>
      <c r="E501" s="15"/>
      <c r="F501" s="31"/>
    </row>
    <row r="502" spans="1:28" ht="34.5" hidden="1" customHeight="1" outlineLevel="1" x14ac:dyDescent="0.35">
      <c r="A502" s="16"/>
      <c r="B502" s="17" t="s">
        <v>200</v>
      </c>
      <c r="C502" s="18" t="s">
        <v>18</v>
      </c>
      <c r="D502" s="18">
        <v>11</v>
      </c>
      <c r="E502" s="18">
        <v>0.308</v>
      </c>
      <c r="F502" s="47"/>
    </row>
    <row r="503" spans="1:28" ht="31" hidden="1" customHeight="1" outlineLevel="1" x14ac:dyDescent="0.35">
      <c r="A503" s="16"/>
      <c r="B503" s="17" t="s">
        <v>256</v>
      </c>
      <c r="C503" s="18" t="s">
        <v>18</v>
      </c>
      <c r="D503" s="18">
        <v>3</v>
      </c>
      <c r="E503" s="81">
        <v>8.4000000000000005E-2</v>
      </c>
      <c r="F503" s="47"/>
    </row>
    <row r="504" spans="1:28" ht="33" customHeight="1" collapsed="1" x14ac:dyDescent="0.35">
      <c r="A504" s="63">
        <f>A501+1</f>
        <v>228</v>
      </c>
      <c r="B504" s="19" t="s">
        <v>122</v>
      </c>
      <c r="C504" s="15" t="s">
        <v>18</v>
      </c>
      <c r="D504" s="77">
        <v>2</v>
      </c>
      <c r="E504" s="15"/>
      <c r="F504" s="31"/>
    </row>
    <row r="505" spans="1:28" s="24" customFormat="1" ht="30" customHeight="1" x14ac:dyDescent="0.4">
      <c r="A505" s="63">
        <f>A504+1</f>
        <v>229</v>
      </c>
      <c r="B505" s="19" t="s">
        <v>475</v>
      </c>
      <c r="C505" s="15" t="s">
        <v>18</v>
      </c>
      <c r="D505" s="77">
        <v>1</v>
      </c>
      <c r="E505" s="77"/>
      <c r="F505" s="25"/>
    </row>
    <row r="506" spans="1:28" s="24" customFormat="1" ht="30" hidden="1" customHeight="1" outlineLevel="1" x14ac:dyDescent="0.4">
      <c r="A506" s="26"/>
      <c r="B506" s="17" t="s">
        <v>255</v>
      </c>
      <c r="C506" s="18" t="s">
        <v>18</v>
      </c>
      <c r="D506" s="18">
        <v>1</v>
      </c>
      <c r="E506" s="67">
        <v>0.05</v>
      </c>
      <c r="F506" s="25"/>
    </row>
    <row r="507" spans="1:28" s="24" customFormat="1" ht="30.9" collapsed="1" x14ac:dyDescent="0.4">
      <c r="A507" s="63">
        <f>A505+1</f>
        <v>230</v>
      </c>
      <c r="B507" s="19" t="s">
        <v>257</v>
      </c>
      <c r="C507" s="20" t="s">
        <v>23</v>
      </c>
      <c r="D507" s="77">
        <v>0.6</v>
      </c>
      <c r="E507" s="77"/>
      <c r="F507" s="25"/>
    </row>
    <row r="508" spans="1:28" s="24" customFormat="1" ht="30.9" hidden="1" outlineLevel="1" x14ac:dyDescent="0.4">
      <c r="A508" s="26"/>
      <c r="B508" s="17" t="s">
        <v>258</v>
      </c>
      <c r="C508" s="81" t="s">
        <v>16</v>
      </c>
      <c r="D508" s="67">
        <f>0.6*2.76*1.1/1000</f>
        <v>1.8216E-3</v>
      </c>
      <c r="E508" s="67"/>
      <c r="F508" s="25"/>
    </row>
    <row r="509" spans="1:28" ht="36" customHeight="1" collapsed="1" x14ac:dyDescent="0.35">
      <c r="A509" s="63">
        <f>A507+1</f>
        <v>231</v>
      </c>
      <c r="B509" s="19" t="s">
        <v>267</v>
      </c>
      <c r="C509" s="15" t="s">
        <v>18</v>
      </c>
      <c r="D509" s="77">
        <v>4</v>
      </c>
      <c r="E509" s="15"/>
      <c r="F509" s="47"/>
    </row>
    <row r="510" spans="1:28" s="24" customFormat="1" ht="30.9" x14ac:dyDescent="0.4">
      <c r="A510" s="63">
        <f>A509+1</f>
        <v>232</v>
      </c>
      <c r="B510" s="19" t="s">
        <v>424</v>
      </c>
      <c r="C510" s="20" t="s">
        <v>23</v>
      </c>
      <c r="D510" s="77">
        <v>25.5</v>
      </c>
      <c r="E510" s="70" t="s">
        <v>265</v>
      </c>
      <c r="F510" s="25"/>
    </row>
    <row r="511" spans="1:28" s="24" customFormat="1" ht="30.9" hidden="1" outlineLevel="1" x14ac:dyDescent="0.4">
      <c r="A511" s="26"/>
      <c r="B511" s="17" t="s">
        <v>148</v>
      </c>
      <c r="C511" s="81" t="s">
        <v>16</v>
      </c>
      <c r="D511" s="67">
        <f>25.5*5.23*1.1/1000</f>
        <v>0.14670150000000001</v>
      </c>
      <c r="E511" s="67"/>
      <c r="F511" s="25"/>
    </row>
    <row r="512" spans="1:28" s="24" customFormat="1" ht="30" hidden="1" customHeight="1" outlineLevel="1" x14ac:dyDescent="0.4">
      <c r="A512" s="26"/>
      <c r="B512" s="17" t="s">
        <v>126</v>
      </c>
      <c r="C512" s="81" t="s">
        <v>18</v>
      </c>
      <c r="D512" s="83">
        <v>17</v>
      </c>
      <c r="E512" s="67">
        <v>1.2E-2</v>
      </c>
      <c r="F512" s="25"/>
    </row>
    <row r="513" spans="1:6" s="24" customFormat="1" ht="30" hidden="1" customHeight="1" outlineLevel="1" x14ac:dyDescent="0.4">
      <c r="A513" s="26"/>
      <c r="B513" s="17" t="s">
        <v>205</v>
      </c>
      <c r="C513" s="81" t="s">
        <v>18</v>
      </c>
      <c r="D513" s="83">
        <v>7</v>
      </c>
      <c r="E513" s="67">
        <v>4.0000000000000001E-3</v>
      </c>
      <c r="F513" s="25"/>
    </row>
    <row r="514" spans="1:6" s="24" customFormat="1" ht="30" hidden="1" customHeight="1" outlineLevel="1" x14ac:dyDescent="0.4">
      <c r="A514" s="26"/>
      <c r="B514" s="17" t="s">
        <v>259</v>
      </c>
      <c r="C514" s="81" t="s">
        <v>18</v>
      </c>
      <c r="D514" s="83">
        <v>4</v>
      </c>
      <c r="E514" s="67">
        <v>2E-3</v>
      </c>
      <c r="F514" s="25"/>
    </row>
    <row r="515" spans="1:6" s="24" customFormat="1" ht="30" hidden="1" customHeight="1" outlineLevel="1" x14ac:dyDescent="0.4">
      <c r="A515" s="26"/>
      <c r="B515" s="17" t="s">
        <v>260</v>
      </c>
      <c r="C515" s="81" t="s">
        <v>18</v>
      </c>
      <c r="D515" s="83">
        <v>2</v>
      </c>
      <c r="E515" s="67">
        <v>2E-3</v>
      </c>
      <c r="F515" s="25"/>
    </row>
    <row r="516" spans="1:6" s="24" customFormat="1" ht="30" hidden="1" customHeight="1" outlineLevel="1" x14ac:dyDescent="0.4">
      <c r="A516" s="26"/>
      <c r="B516" s="17" t="s">
        <v>261</v>
      </c>
      <c r="C516" s="81" t="s">
        <v>18</v>
      </c>
      <c r="D516" s="83">
        <v>2</v>
      </c>
      <c r="E516" s="67">
        <v>2E-3</v>
      </c>
      <c r="F516" s="25"/>
    </row>
    <row r="517" spans="1:6" s="24" customFormat="1" ht="30" hidden="1" customHeight="1" outlineLevel="1" x14ac:dyDescent="0.4">
      <c r="A517" s="26"/>
      <c r="B517" s="17" t="s">
        <v>264</v>
      </c>
      <c r="C517" s="81" t="s">
        <v>18</v>
      </c>
      <c r="D517" s="83">
        <v>1</v>
      </c>
      <c r="E517" s="67">
        <v>4.0000000000000001E-3</v>
      </c>
      <c r="F517" s="25"/>
    </row>
    <row r="518" spans="1:6" s="24" customFormat="1" ht="30.9" collapsed="1" x14ac:dyDescent="0.4">
      <c r="A518" s="63">
        <f>A510+1</f>
        <v>233</v>
      </c>
      <c r="B518" s="19" t="s">
        <v>435</v>
      </c>
      <c r="C518" s="20" t="s">
        <v>23</v>
      </c>
      <c r="D518" s="77">
        <v>4.5</v>
      </c>
      <c r="E518" s="70" t="s">
        <v>265</v>
      </c>
      <c r="F518" s="25"/>
    </row>
    <row r="519" spans="1:6" s="24" customFormat="1" ht="30.9" hidden="1" outlineLevel="1" x14ac:dyDescent="0.4">
      <c r="A519" s="26"/>
      <c r="B519" s="17" t="s">
        <v>207</v>
      </c>
      <c r="C519" s="81" t="s">
        <v>16</v>
      </c>
      <c r="D519" s="67">
        <f>4.5*12.28*1.1/1000</f>
        <v>6.0786E-2</v>
      </c>
      <c r="E519" s="67"/>
      <c r="F519" s="25"/>
    </row>
    <row r="520" spans="1:6" s="24" customFormat="1" ht="30" hidden="1" customHeight="1" outlineLevel="1" x14ac:dyDescent="0.4">
      <c r="A520" s="26"/>
      <c r="B520" s="17" t="s">
        <v>127</v>
      </c>
      <c r="C520" s="81" t="s">
        <v>18</v>
      </c>
      <c r="D520" s="83">
        <v>4</v>
      </c>
      <c r="E520" s="67">
        <v>8.9999999999999993E-3</v>
      </c>
      <c r="F520" s="25"/>
    </row>
    <row r="521" spans="1:6" s="24" customFormat="1" ht="30" hidden="1" customHeight="1" outlineLevel="1" x14ac:dyDescent="0.4">
      <c r="A521" s="26"/>
      <c r="B521" s="17" t="s">
        <v>136</v>
      </c>
      <c r="C521" s="81" t="s">
        <v>18</v>
      </c>
      <c r="D521" s="83">
        <v>1</v>
      </c>
      <c r="E521" s="67">
        <v>5.0000000000000001E-3</v>
      </c>
      <c r="F521" s="25"/>
    </row>
    <row r="522" spans="1:6" s="24" customFormat="1" ht="30" customHeight="1" collapsed="1" x14ac:dyDescent="0.4">
      <c r="A522" s="63">
        <f>A518+1</f>
        <v>234</v>
      </c>
      <c r="B522" s="19" t="s">
        <v>132</v>
      </c>
      <c r="C522" s="20" t="s">
        <v>21</v>
      </c>
      <c r="D522" s="77" t="s">
        <v>263</v>
      </c>
      <c r="E522" s="77"/>
      <c r="F522" s="25"/>
    </row>
    <row r="523" spans="1:6" s="24" customFormat="1" ht="30" hidden="1" customHeight="1" outlineLevel="1" x14ac:dyDescent="0.4">
      <c r="A523" s="26"/>
      <c r="B523" s="17" t="s">
        <v>262</v>
      </c>
      <c r="C523" s="81" t="s">
        <v>18</v>
      </c>
      <c r="D523" s="83">
        <v>4</v>
      </c>
      <c r="E523" s="67">
        <v>5.0000000000000001E-3</v>
      </c>
      <c r="F523" s="25"/>
    </row>
    <row r="524" spans="1:6" s="24" customFormat="1" ht="30" hidden="1" customHeight="1" outlineLevel="1" x14ac:dyDescent="0.4">
      <c r="A524" s="26"/>
      <c r="B524" s="17" t="s">
        <v>150</v>
      </c>
      <c r="C524" s="81" t="s">
        <v>18</v>
      </c>
      <c r="D524" s="83">
        <v>11</v>
      </c>
      <c r="E524" s="67">
        <v>2.3E-2</v>
      </c>
      <c r="F524" s="25"/>
    </row>
    <row r="525" spans="1:6" s="24" customFormat="1" ht="30" hidden="1" customHeight="1" outlineLevel="1" x14ac:dyDescent="0.4">
      <c r="A525" s="26"/>
      <c r="B525" s="17" t="s">
        <v>133</v>
      </c>
      <c r="C525" s="81" t="s">
        <v>18</v>
      </c>
      <c r="D525" s="83">
        <v>1</v>
      </c>
      <c r="E525" s="67">
        <v>2E-3</v>
      </c>
      <c r="F525" s="25"/>
    </row>
    <row r="526" spans="1:6" ht="33" customHeight="1" collapsed="1" x14ac:dyDescent="0.35">
      <c r="A526" s="63">
        <f>A522+1</f>
        <v>235</v>
      </c>
      <c r="B526" s="19" t="s">
        <v>143</v>
      </c>
      <c r="C526" s="15" t="s">
        <v>18</v>
      </c>
      <c r="D526" s="77">
        <v>10</v>
      </c>
      <c r="E526" s="15"/>
      <c r="F526" s="31"/>
    </row>
    <row r="527" spans="1:6" ht="31" hidden="1" customHeight="1" outlineLevel="1" x14ac:dyDescent="0.35">
      <c r="A527" s="16"/>
      <c r="B527" s="17" t="s">
        <v>266</v>
      </c>
      <c r="C527" s="81" t="s">
        <v>45</v>
      </c>
      <c r="D527" s="83">
        <v>5</v>
      </c>
      <c r="E527" s="81"/>
      <c r="F527" s="47"/>
    </row>
    <row r="528" spans="1:6" ht="36" customHeight="1" collapsed="1" x14ac:dyDescent="0.35">
      <c r="A528" s="63">
        <f>A526+1</f>
        <v>236</v>
      </c>
      <c r="B528" s="19" t="s">
        <v>34</v>
      </c>
      <c r="C528" s="15" t="s">
        <v>19</v>
      </c>
      <c r="D528" s="23">
        <f>((0.032*3.14*0.6)+(0.057*3.14*25.5)+(0.089*3.14*4.5))*1.1</f>
        <v>6.4700328000000003</v>
      </c>
      <c r="E528" s="15"/>
      <c r="F528" s="47"/>
    </row>
    <row r="529" spans="1:6" ht="36" customHeight="1" x14ac:dyDescent="0.35">
      <c r="A529" s="63">
        <f>A528+1</f>
        <v>237</v>
      </c>
      <c r="B529" s="19" t="s">
        <v>51</v>
      </c>
      <c r="C529" s="15" t="s">
        <v>19</v>
      </c>
      <c r="D529" s="23">
        <f>((0.032*3.14*0.6)+(0.057*3.14*25.5)+(0.089*3.14*4.5))*1.1</f>
        <v>6.4700328000000003</v>
      </c>
      <c r="E529" s="15"/>
      <c r="F529" s="47"/>
    </row>
    <row r="530" spans="1:6" ht="36" customHeight="1" x14ac:dyDescent="0.35">
      <c r="A530" s="63">
        <f>A529+1</f>
        <v>238</v>
      </c>
      <c r="B530" s="19" t="s">
        <v>52</v>
      </c>
      <c r="C530" s="15" t="s">
        <v>19</v>
      </c>
      <c r="D530" s="23">
        <f>((0.032*3.14*0.6)+(0.057*3.14*25.5)+(0.089*3.14*4.5))*1.1</f>
        <v>6.4700328000000003</v>
      </c>
      <c r="E530" s="15"/>
      <c r="F530" s="47"/>
    </row>
    <row r="531" spans="1:6" s="24" customFormat="1" ht="30" customHeight="1" x14ac:dyDescent="0.4">
      <c r="A531" s="63">
        <f>A530+1</f>
        <v>239</v>
      </c>
      <c r="B531" s="19" t="s">
        <v>89</v>
      </c>
      <c r="C531" s="20" t="s">
        <v>19</v>
      </c>
      <c r="D531" s="23">
        <f>((0.032*3.14*0.6)+(0.057*3.14*25.5)+(0.089*3.14*4.5))*1.1</f>
        <v>6.4700328000000003</v>
      </c>
      <c r="E531" s="77"/>
      <c r="F531" s="25"/>
    </row>
    <row r="532" spans="1:6" s="24" customFormat="1" ht="30" hidden="1" customHeight="1" outlineLevel="1" x14ac:dyDescent="0.4">
      <c r="A532" s="26"/>
      <c r="B532" s="17" t="s">
        <v>88</v>
      </c>
      <c r="C532" s="81" t="s">
        <v>25</v>
      </c>
      <c r="D532" s="82">
        <f>6.47*2*0.36</f>
        <v>4.6583999999999994</v>
      </c>
      <c r="E532" s="81">
        <v>7.0000000000000001E-3</v>
      </c>
      <c r="F532" s="25"/>
    </row>
    <row r="533" spans="1:6" ht="31" customHeight="1" collapsed="1" x14ac:dyDescent="0.35">
      <c r="A533" s="63">
        <f>A531+1</f>
        <v>240</v>
      </c>
      <c r="B533" s="14" t="s">
        <v>278</v>
      </c>
      <c r="C533" s="21" t="s">
        <v>31</v>
      </c>
      <c r="D533" s="15" t="s">
        <v>285</v>
      </c>
      <c r="E533" s="15"/>
      <c r="F533" s="47"/>
    </row>
    <row r="534" spans="1:6" ht="30" hidden="1" customHeight="1" outlineLevel="1" x14ac:dyDescent="0.35">
      <c r="A534" s="16"/>
      <c r="B534" s="17" t="s">
        <v>268</v>
      </c>
      <c r="C534" s="81" t="s">
        <v>18</v>
      </c>
      <c r="D534" s="83">
        <v>1</v>
      </c>
      <c r="E534" s="18"/>
      <c r="F534" s="47"/>
    </row>
    <row r="535" spans="1:6" ht="30" hidden="1" customHeight="1" outlineLevel="1" x14ac:dyDescent="0.35">
      <c r="A535" s="16"/>
      <c r="B535" s="17" t="s">
        <v>269</v>
      </c>
      <c r="C535" s="81" t="s">
        <v>18</v>
      </c>
      <c r="D535" s="83">
        <v>8</v>
      </c>
      <c r="E535" s="18"/>
      <c r="F535" s="47"/>
    </row>
    <row r="536" spans="1:6" ht="31" customHeight="1" collapsed="1" x14ac:dyDescent="0.35">
      <c r="A536" s="63">
        <f>A533+1</f>
        <v>241</v>
      </c>
      <c r="B536" s="14" t="s">
        <v>42</v>
      </c>
      <c r="C536" s="21" t="s">
        <v>31</v>
      </c>
      <c r="D536" s="15" t="s">
        <v>286</v>
      </c>
      <c r="E536" s="15"/>
      <c r="F536" s="47"/>
    </row>
    <row r="537" spans="1:6" ht="30" hidden="1" customHeight="1" outlineLevel="1" x14ac:dyDescent="0.35">
      <c r="A537" s="16"/>
      <c r="B537" s="17" t="s">
        <v>270</v>
      </c>
      <c r="C537" s="81" t="s">
        <v>18</v>
      </c>
      <c r="D537" s="83">
        <v>26</v>
      </c>
      <c r="E537" s="18"/>
      <c r="F537" s="47"/>
    </row>
    <row r="538" spans="1:6" ht="30" hidden="1" customHeight="1" outlineLevel="1" x14ac:dyDescent="0.35">
      <c r="A538" s="16"/>
      <c r="B538" s="17" t="s">
        <v>271</v>
      </c>
      <c r="C538" s="81" t="s">
        <v>18</v>
      </c>
      <c r="D538" s="83">
        <v>157</v>
      </c>
      <c r="E538" s="18"/>
      <c r="F538" s="47"/>
    </row>
    <row r="539" spans="1:6" ht="31" customHeight="1" collapsed="1" x14ac:dyDescent="0.35">
      <c r="A539" s="63">
        <f>A536+1</f>
        <v>242</v>
      </c>
      <c r="B539" s="14" t="s">
        <v>44</v>
      </c>
      <c r="C539" s="21" t="s">
        <v>31</v>
      </c>
      <c r="D539" s="15" t="s">
        <v>287</v>
      </c>
      <c r="E539" s="15"/>
      <c r="F539" s="47"/>
    </row>
    <row r="540" spans="1:6" ht="30" hidden="1" customHeight="1" outlineLevel="1" x14ac:dyDescent="0.35">
      <c r="A540" s="16"/>
      <c r="B540" s="17" t="s">
        <v>272</v>
      </c>
      <c r="C540" s="81" t="s">
        <v>18</v>
      </c>
      <c r="D540" s="83">
        <v>5</v>
      </c>
      <c r="E540" s="18"/>
      <c r="F540" s="47"/>
    </row>
    <row r="541" spans="1:6" ht="30" hidden="1" customHeight="1" outlineLevel="1" x14ac:dyDescent="0.35">
      <c r="A541" s="16"/>
      <c r="B541" s="17" t="s">
        <v>273</v>
      </c>
      <c r="C541" s="81" t="s">
        <v>18</v>
      </c>
      <c r="D541" s="83">
        <v>27</v>
      </c>
      <c r="E541" s="18"/>
      <c r="F541" s="47"/>
    </row>
    <row r="542" spans="1:6" ht="30" customHeight="1" collapsed="1" x14ac:dyDescent="0.35">
      <c r="A542" s="63">
        <f>A539+1</f>
        <v>243</v>
      </c>
      <c r="B542" s="19" t="s">
        <v>277</v>
      </c>
      <c r="C542" s="20" t="s">
        <v>32</v>
      </c>
      <c r="D542" s="77" t="s">
        <v>284</v>
      </c>
      <c r="E542" s="77"/>
      <c r="F542" s="47"/>
    </row>
    <row r="543" spans="1:6" ht="30" hidden="1" customHeight="1" outlineLevel="1" x14ac:dyDescent="0.35">
      <c r="A543" s="16"/>
      <c r="B543" s="17" t="s">
        <v>274</v>
      </c>
      <c r="C543" s="81" t="s">
        <v>18</v>
      </c>
      <c r="D543" s="81">
        <v>17</v>
      </c>
      <c r="E543" s="18"/>
      <c r="F543" s="47"/>
    </row>
    <row r="544" spans="1:6" ht="30" hidden="1" customHeight="1" outlineLevel="1" x14ac:dyDescent="0.35">
      <c r="A544" s="16"/>
      <c r="B544" s="17" t="s">
        <v>275</v>
      </c>
      <c r="C544" s="81" t="s">
        <v>18</v>
      </c>
      <c r="D544" s="81">
        <v>7</v>
      </c>
      <c r="E544" s="18"/>
      <c r="F544" s="47"/>
    </row>
    <row r="545" spans="1:28" ht="30" customHeight="1" collapsed="1" x14ac:dyDescent="0.35">
      <c r="A545" s="63">
        <f>A542+1</f>
        <v>244</v>
      </c>
      <c r="B545" s="19" t="s">
        <v>43</v>
      </c>
      <c r="C545" s="20" t="s">
        <v>32</v>
      </c>
      <c r="D545" s="77" t="s">
        <v>283</v>
      </c>
      <c r="E545" s="77"/>
      <c r="F545" s="47"/>
    </row>
    <row r="546" spans="1:28" ht="30" hidden="1" customHeight="1" outlineLevel="1" x14ac:dyDescent="0.35">
      <c r="A546" s="16"/>
      <c r="B546" s="17" t="s">
        <v>276</v>
      </c>
      <c r="C546" s="81" t="s">
        <v>18</v>
      </c>
      <c r="D546" s="81">
        <v>4</v>
      </c>
      <c r="E546" s="18"/>
      <c r="F546" s="47"/>
    </row>
    <row r="547" spans="1:28" ht="30" customHeight="1" collapsed="1" x14ac:dyDescent="0.35">
      <c r="A547" s="63">
        <f>A545+1</f>
        <v>245</v>
      </c>
      <c r="B547" s="19" t="s">
        <v>280</v>
      </c>
      <c r="C547" s="20" t="s">
        <v>18</v>
      </c>
      <c r="D547" s="77">
        <v>16</v>
      </c>
      <c r="E547" s="77"/>
      <c r="F547" s="47"/>
    </row>
    <row r="548" spans="1:28" ht="30" hidden="1" customHeight="1" outlineLevel="1" x14ac:dyDescent="0.35">
      <c r="A548" s="16"/>
      <c r="B548" s="17" t="s">
        <v>279</v>
      </c>
      <c r="C548" s="81" t="s">
        <v>18</v>
      </c>
      <c r="D548" s="18">
        <v>14</v>
      </c>
      <c r="E548" s="18"/>
      <c r="F548" s="47"/>
    </row>
    <row r="549" spans="1:28" ht="30" hidden="1" customHeight="1" outlineLevel="1" x14ac:dyDescent="0.35">
      <c r="A549" s="16"/>
      <c r="B549" s="17" t="s">
        <v>281</v>
      </c>
      <c r="C549" s="81" t="s">
        <v>18</v>
      </c>
      <c r="D549" s="18">
        <v>1</v>
      </c>
      <c r="E549" s="18"/>
      <c r="F549" s="47"/>
    </row>
    <row r="550" spans="1:28" ht="30" hidden="1" customHeight="1" outlineLevel="1" x14ac:dyDescent="0.35">
      <c r="A550" s="16"/>
      <c r="B550" s="17" t="s">
        <v>282</v>
      </c>
      <c r="C550" s="81" t="s">
        <v>18</v>
      </c>
      <c r="D550" s="18">
        <v>1</v>
      </c>
      <c r="E550" s="18"/>
      <c r="F550" s="47"/>
    </row>
    <row r="551" spans="1:28" s="46" customFormat="1" ht="21" customHeight="1" collapsed="1" x14ac:dyDescent="0.35">
      <c r="A551" s="115" t="s">
        <v>288</v>
      </c>
      <c r="B551" s="115"/>
      <c r="C551" s="115"/>
      <c r="D551" s="115"/>
      <c r="E551" s="115"/>
      <c r="F551" s="41"/>
      <c r="G551" s="42"/>
      <c r="H551" s="43"/>
      <c r="I551" s="44"/>
      <c r="J551" s="44"/>
      <c r="K551" s="45"/>
      <c r="L551" s="45"/>
      <c r="M551" s="45"/>
      <c r="N551" s="43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</row>
    <row r="552" spans="1:28" s="24" customFormat="1" ht="30" customHeight="1" x14ac:dyDescent="0.4">
      <c r="A552" s="63">
        <f>A547+1</f>
        <v>246</v>
      </c>
      <c r="B552" s="19" t="s">
        <v>152</v>
      </c>
      <c r="C552" s="20" t="s">
        <v>23</v>
      </c>
      <c r="D552" s="77">
        <v>75</v>
      </c>
      <c r="E552" s="77"/>
      <c r="F552" s="25"/>
    </row>
    <row r="553" spans="1:28" s="24" customFormat="1" ht="30" hidden="1" customHeight="1" outlineLevel="1" x14ac:dyDescent="0.4">
      <c r="A553" s="26"/>
      <c r="B553" s="17" t="s">
        <v>153</v>
      </c>
      <c r="C553" s="81" t="s">
        <v>16</v>
      </c>
      <c r="D553" s="67">
        <f>75*1.26*1.012/1000</f>
        <v>9.5633999999999997E-2</v>
      </c>
      <c r="E553" s="67"/>
      <c r="F553" s="25"/>
    </row>
    <row r="554" spans="1:28" ht="36" customHeight="1" collapsed="1" x14ac:dyDescent="0.35">
      <c r="A554" s="63">
        <f>A552+1</f>
        <v>247</v>
      </c>
      <c r="B554" s="19" t="s">
        <v>154</v>
      </c>
      <c r="C554" s="15" t="s">
        <v>18</v>
      </c>
      <c r="D554" s="78">
        <v>4</v>
      </c>
      <c r="E554" s="15"/>
      <c r="F554" s="47"/>
    </row>
    <row r="555" spans="1:28" s="24" customFormat="1" ht="30" hidden="1" customHeight="1" outlineLevel="1" x14ac:dyDescent="0.4">
      <c r="A555" s="26"/>
      <c r="B555" s="17" t="s">
        <v>155</v>
      </c>
      <c r="C555" s="81" t="s">
        <v>16</v>
      </c>
      <c r="D555" s="67">
        <f>20*1.58*1.012/1000</f>
        <v>3.1979199999999999E-2</v>
      </c>
      <c r="E555" s="67"/>
      <c r="F555" s="25"/>
    </row>
    <row r="556" spans="1:28" ht="36" customHeight="1" collapsed="1" x14ac:dyDescent="0.35">
      <c r="A556" s="63">
        <f>A554+1</f>
        <v>248</v>
      </c>
      <c r="B556" s="19" t="s">
        <v>35</v>
      </c>
      <c r="C556" s="15" t="s">
        <v>23</v>
      </c>
      <c r="D556" s="64">
        <v>10</v>
      </c>
      <c r="E556" s="15"/>
      <c r="F556" s="47"/>
    </row>
    <row r="557" spans="1:28" s="24" customFormat="1" ht="30" hidden="1" customHeight="1" outlineLevel="1" x14ac:dyDescent="0.4">
      <c r="A557" s="26"/>
      <c r="B557" s="17" t="s">
        <v>156</v>
      </c>
      <c r="C557" s="81" t="s">
        <v>23</v>
      </c>
      <c r="D557" s="83">
        <v>10</v>
      </c>
      <c r="E557" s="67"/>
      <c r="F557" s="25"/>
    </row>
    <row r="558" spans="1:28" s="24" customFormat="1" ht="30" hidden="1" customHeight="1" outlineLevel="1" x14ac:dyDescent="0.4">
      <c r="A558" s="26"/>
      <c r="B558" s="17" t="s">
        <v>157</v>
      </c>
      <c r="C558" s="81" t="s">
        <v>18</v>
      </c>
      <c r="D558" s="83">
        <v>20</v>
      </c>
      <c r="E558" s="67"/>
      <c r="F558" s="25"/>
    </row>
    <row r="559" spans="1:28" s="24" customFormat="1" ht="30" hidden="1" customHeight="1" outlineLevel="1" x14ac:dyDescent="0.4">
      <c r="A559" s="26"/>
      <c r="B559" s="17" t="s">
        <v>158</v>
      </c>
      <c r="C559" s="81" t="s">
        <v>18</v>
      </c>
      <c r="D559" s="83">
        <v>20</v>
      </c>
      <c r="E559" s="67"/>
      <c r="F559" s="25"/>
    </row>
    <row r="560" spans="1:28" s="24" customFormat="1" ht="30" hidden="1" customHeight="1" outlineLevel="1" x14ac:dyDescent="0.4">
      <c r="A560" s="26"/>
      <c r="B560" s="17" t="s">
        <v>159</v>
      </c>
      <c r="C560" s="81" t="s">
        <v>18</v>
      </c>
      <c r="D560" s="83">
        <v>20</v>
      </c>
      <c r="E560" s="67"/>
      <c r="F560" s="25"/>
    </row>
    <row r="561" spans="1:28" s="24" customFormat="1" ht="30" hidden="1" customHeight="1" outlineLevel="1" x14ac:dyDescent="0.4">
      <c r="A561" s="26"/>
      <c r="B561" s="17" t="s">
        <v>160</v>
      </c>
      <c r="C561" s="81" t="s">
        <v>18</v>
      </c>
      <c r="D561" s="83">
        <v>40</v>
      </c>
      <c r="E561" s="67"/>
      <c r="F561" s="25"/>
    </row>
    <row r="562" spans="1:28" s="40" customFormat="1" ht="31" customHeight="1" collapsed="1" x14ac:dyDescent="0.35">
      <c r="A562" s="63">
        <f>A556+1</f>
        <v>249</v>
      </c>
      <c r="B562" s="14" t="s">
        <v>413</v>
      </c>
      <c r="C562" s="15" t="s">
        <v>18</v>
      </c>
      <c r="D562" s="77">
        <v>2</v>
      </c>
      <c r="E562" s="69"/>
      <c r="F562" s="36"/>
      <c r="G562" s="37"/>
      <c r="H562" s="38"/>
      <c r="I562" s="37"/>
      <c r="J562" s="37"/>
      <c r="K562" s="39"/>
      <c r="L562" s="39"/>
      <c r="M562" s="39"/>
      <c r="N562" s="38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</row>
    <row r="563" spans="1:28" s="46" customFormat="1" ht="36" customHeight="1" x14ac:dyDescent="0.35">
      <c r="A563" s="63">
        <f>A562+1</f>
        <v>250</v>
      </c>
      <c r="B563" s="14" t="s">
        <v>415</v>
      </c>
      <c r="C563" s="15" t="s">
        <v>414</v>
      </c>
      <c r="D563" s="77">
        <v>1</v>
      </c>
      <c r="E563" s="14"/>
      <c r="F563" s="41"/>
      <c r="G563" s="42"/>
      <c r="H563" s="43"/>
      <c r="I563" s="44"/>
      <c r="J563" s="44"/>
      <c r="K563" s="45"/>
      <c r="L563" s="45"/>
      <c r="M563" s="45"/>
      <c r="N563" s="43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  <c r="AA563" s="45"/>
      <c r="AB563" s="45"/>
    </row>
    <row r="564" spans="1:28" s="46" customFormat="1" ht="30" customHeight="1" x14ac:dyDescent="0.35">
      <c r="A564" s="118" t="s">
        <v>289</v>
      </c>
      <c r="B564" s="118"/>
      <c r="C564" s="118"/>
      <c r="D564" s="118"/>
      <c r="E564" s="118"/>
      <c r="F564" s="41"/>
      <c r="G564" s="42"/>
      <c r="H564" s="43"/>
      <c r="I564" s="44"/>
      <c r="J564" s="44"/>
      <c r="K564" s="45"/>
      <c r="L564" s="45"/>
      <c r="M564" s="45"/>
      <c r="N564" s="43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  <c r="AA564" s="45"/>
      <c r="AB564" s="45"/>
    </row>
    <row r="565" spans="1:28" s="46" customFormat="1" ht="21" customHeight="1" x14ac:dyDescent="0.35">
      <c r="A565" s="115" t="s">
        <v>290</v>
      </c>
      <c r="B565" s="115"/>
      <c r="C565" s="115"/>
      <c r="D565" s="115"/>
      <c r="E565" s="115"/>
      <c r="F565" s="41"/>
      <c r="G565" s="42"/>
      <c r="H565" s="43"/>
      <c r="I565" s="44"/>
      <c r="J565" s="44"/>
      <c r="K565" s="45"/>
      <c r="L565" s="45"/>
      <c r="M565" s="45"/>
      <c r="N565" s="43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  <c r="AA565" s="45"/>
      <c r="AB565" s="45"/>
    </row>
    <row r="566" spans="1:28" ht="30" customHeight="1" x14ac:dyDescent="0.35">
      <c r="A566" s="63">
        <f>A563+1</f>
        <v>251</v>
      </c>
      <c r="B566" s="19" t="s">
        <v>301</v>
      </c>
      <c r="C566" s="66" t="s">
        <v>291</v>
      </c>
      <c r="D566" s="71" t="s">
        <v>297</v>
      </c>
      <c r="E566" s="77"/>
      <c r="F566" s="47"/>
    </row>
    <row r="567" spans="1:28" s="24" customFormat="1" ht="30" customHeight="1" x14ac:dyDescent="0.4">
      <c r="A567" s="63">
        <f>A566+1</f>
        <v>252</v>
      </c>
      <c r="B567" s="19" t="s">
        <v>454</v>
      </c>
      <c r="C567" s="20" t="s">
        <v>17</v>
      </c>
      <c r="D567" s="64">
        <f>0.6*6</f>
        <v>3.5999999999999996</v>
      </c>
      <c r="E567" s="77"/>
      <c r="F567" s="25"/>
    </row>
    <row r="568" spans="1:28" s="24" customFormat="1" ht="30" hidden="1" customHeight="1" outlineLevel="1" x14ac:dyDescent="0.4">
      <c r="A568" s="26"/>
      <c r="B568" s="17" t="s">
        <v>77</v>
      </c>
      <c r="C568" s="81" t="s">
        <v>17</v>
      </c>
      <c r="D568" s="82">
        <f>3.6*1.26*1.02</f>
        <v>4.6267200000000006</v>
      </c>
      <c r="E568" s="81"/>
      <c r="F568" s="25"/>
    </row>
    <row r="569" spans="1:28" s="24" customFormat="1" ht="30" customHeight="1" collapsed="1" x14ac:dyDescent="0.4">
      <c r="A569" s="63">
        <f>A567+1</f>
        <v>253</v>
      </c>
      <c r="B569" s="74" t="s">
        <v>292</v>
      </c>
      <c r="C569" s="75" t="s">
        <v>16</v>
      </c>
      <c r="D569" s="86">
        <f>0.167/1.1</f>
        <v>0.15181818181818182</v>
      </c>
      <c r="E569" s="77"/>
      <c r="F569" s="25"/>
    </row>
    <row r="570" spans="1:28" ht="30" hidden="1" customHeight="1" outlineLevel="1" x14ac:dyDescent="0.35">
      <c r="A570" s="16"/>
      <c r="B570" s="17" t="s">
        <v>82</v>
      </c>
      <c r="C570" s="81" t="s">
        <v>16</v>
      </c>
      <c r="D570" s="67">
        <f>8*2.71/1000*6</f>
        <v>0.13008</v>
      </c>
      <c r="E570" s="18"/>
      <c r="F570" s="47"/>
    </row>
    <row r="571" spans="1:28" ht="30" hidden="1" customHeight="1" outlineLevel="1" x14ac:dyDescent="0.35">
      <c r="A571" s="16"/>
      <c r="B571" s="17" t="s">
        <v>293</v>
      </c>
      <c r="C571" s="81" t="s">
        <v>16</v>
      </c>
      <c r="D571" s="67">
        <f>7*0.51/1000*6</f>
        <v>2.1420000000000002E-2</v>
      </c>
      <c r="E571" s="18"/>
      <c r="F571" s="47"/>
    </row>
    <row r="572" spans="1:28" ht="31" customHeight="1" collapsed="1" x14ac:dyDescent="0.35">
      <c r="A572" s="63">
        <f>A569+1</f>
        <v>254</v>
      </c>
      <c r="B572" s="14" t="s">
        <v>303</v>
      </c>
      <c r="C572" s="15" t="s">
        <v>17</v>
      </c>
      <c r="D572" s="77">
        <f>0.52*6</f>
        <v>3.12</v>
      </c>
      <c r="E572" s="15"/>
      <c r="F572" s="47"/>
    </row>
    <row r="573" spans="1:28" ht="31" hidden="1" customHeight="1" outlineLevel="1" x14ac:dyDescent="0.35">
      <c r="A573" s="16"/>
      <c r="B573" s="17" t="s">
        <v>83</v>
      </c>
      <c r="C573" s="81" t="s">
        <v>17</v>
      </c>
      <c r="D573" s="102">
        <v>3.12</v>
      </c>
      <c r="E573" s="81"/>
      <c r="F573" s="47"/>
    </row>
    <row r="574" spans="1:28" ht="36" customHeight="1" collapsed="1" x14ac:dyDescent="0.35">
      <c r="A574" s="63">
        <f>A572+1</f>
        <v>255</v>
      </c>
      <c r="B574" s="19" t="s">
        <v>84</v>
      </c>
      <c r="C574" s="15" t="s">
        <v>21</v>
      </c>
      <c r="D574" s="64" t="s">
        <v>455</v>
      </c>
      <c r="E574" s="15"/>
      <c r="F574" s="47"/>
    </row>
    <row r="575" spans="1:28" s="24" customFormat="1" ht="30" hidden="1" customHeight="1" outlineLevel="1" x14ac:dyDescent="0.4">
      <c r="A575" s="26"/>
      <c r="B575" s="17" t="s">
        <v>294</v>
      </c>
      <c r="C575" s="81" t="s">
        <v>18</v>
      </c>
      <c r="D575" s="83">
        <v>6</v>
      </c>
      <c r="E575" s="67">
        <v>1.7999999999999999E-2</v>
      </c>
      <c r="F575" s="25"/>
    </row>
    <row r="576" spans="1:28" ht="36" customHeight="1" collapsed="1" x14ac:dyDescent="0.35">
      <c r="A576" s="63">
        <f>A574+1</f>
        <v>256</v>
      </c>
      <c r="B576" s="19" t="s">
        <v>295</v>
      </c>
      <c r="C576" s="15" t="s">
        <v>21</v>
      </c>
      <c r="D576" s="64" t="s">
        <v>456</v>
      </c>
      <c r="E576" s="15"/>
      <c r="F576" s="47"/>
    </row>
    <row r="577" spans="1:28" s="24" customFormat="1" ht="30" hidden="1" customHeight="1" outlineLevel="1" x14ac:dyDescent="0.4">
      <c r="A577" s="26"/>
      <c r="B577" s="17" t="s">
        <v>296</v>
      </c>
      <c r="C577" s="81"/>
      <c r="D577" s="83">
        <v>6</v>
      </c>
      <c r="E577" s="67"/>
      <c r="F577" s="25"/>
    </row>
    <row r="578" spans="1:28" s="40" customFormat="1" ht="31" customHeight="1" collapsed="1" x14ac:dyDescent="0.35">
      <c r="A578" s="63">
        <f>A576+1</f>
        <v>257</v>
      </c>
      <c r="B578" s="14" t="s">
        <v>413</v>
      </c>
      <c r="C578" s="15" t="s">
        <v>18</v>
      </c>
      <c r="D578" s="77">
        <v>12</v>
      </c>
      <c r="E578" s="69"/>
      <c r="F578" s="36"/>
      <c r="G578" s="37"/>
      <c r="H578" s="38"/>
      <c r="I578" s="37"/>
      <c r="J578" s="37"/>
      <c r="K578" s="39"/>
      <c r="L578" s="39"/>
      <c r="M578" s="39"/>
      <c r="N578" s="38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</row>
    <row r="579" spans="1:28" s="46" customFormat="1" ht="36" customHeight="1" x14ac:dyDescent="0.35">
      <c r="A579" s="63">
        <f>A578+1</f>
        <v>258</v>
      </c>
      <c r="B579" s="14" t="s">
        <v>415</v>
      </c>
      <c r="C579" s="15" t="s">
        <v>414</v>
      </c>
      <c r="D579" s="77">
        <v>6</v>
      </c>
      <c r="E579" s="14"/>
      <c r="F579" s="41"/>
      <c r="G579" s="42"/>
      <c r="H579" s="43"/>
      <c r="I579" s="44"/>
      <c r="J579" s="44"/>
      <c r="K579" s="45"/>
      <c r="L579" s="45"/>
      <c r="M579" s="45"/>
      <c r="N579" s="43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  <c r="AA579" s="45"/>
      <c r="AB579" s="45"/>
    </row>
    <row r="580" spans="1:28" s="46" customFormat="1" ht="30" customHeight="1" x14ac:dyDescent="0.35">
      <c r="A580" s="118" t="s">
        <v>298</v>
      </c>
      <c r="B580" s="118"/>
      <c r="C580" s="118"/>
      <c r="D580" s="118"/>
      <c r="E580" s="118"/>
      <c r="F580" s="41"/>
      <c r="G580" s="42"/>
      <c r="H580" s="43"/>
      <c r="I580" s="44"/>
      <c r="J580" s="44"/>
      <c r="K580" s="45"/>
      <c r="L580" s="45"/>
      <c r="M580" s="45"/>
      <c r="N580" s="43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  <c r="AA580" s="45"/>
      <c r="AB580" s="45"/>
    </row>
    <row r="581" spans="1:28" s="46" customFormat="1" ht="21" customHeight="1" x14ac:dyDescent="0.35">
      <c r="A581" s="115" t="s">
        <v>319</v>
      </c>
      <c r="B581" s="115"/>
      <c r="C581" s="115"/>
      <c r="D581" s="115"/>
      <c r="E581" s="115"/>
      <c r="F581" s="41"/>
      <c r="G581" s="42"/>
      <c r="H581" s="43"/>
      <c r="I581" s="44"/>
      <c r="J581" s="44"/>
      <c r="K581" s="45"/>
      <c r="L581" s="45"/>
      <c r="M581" s="45"/>
      <c r="N581" s="43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  <c r="AA581" s="45"/>
      <c r="AB581" s="45"/>
    </row>
    <row r="582" spans="1:28" s="46" customFormat="1" ht="21" customHeight="1" x14ac:dyDescent="0.35">
      <c r="A582" s="116" t="s">
        <v>299</v>
      </c>
      <c r="B582" s="116"/>
      <c r="C582" s="116"/>
      <c r="D582" s="116"/>
      <c r="E582" s="116"/>
      <c r="F582" s="41"/>
      <c r="G582" s="42"/>
      <c r="H582" s="43"/>
      <c r="I582" s="44"/>
      <c r="J582" s="44"/>
      <c r="K582" s="45"/>
      <c r="L582" s="45"/>
      <c r="M582" s="45"/>
      <c r="N582" s="43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  <c r="AA582" s="45"/>
      <c r="AB582" s="45"/>
    </row>
    <row r="583" spans="1:28" ht="30" customHeight="1" x14ac:dyDescent="0.35">
      <c r="A583" s="63">
        <f>A579+1</f>
        <v>259</v>
      </c>
      <c r="B583" s="19" t="s">
        <v>300</v>
      </c>
      <c r="C583" s="66" t="s">
        <v>291</v>
      </c>
      <c r="D583" s="71" t="s">
        <v>302</v>
      </c>
      <c r="E583" s="15"/>
      <c r="F583" s="47"/>
    </row>
    <row r="584" spans="1:28" s="24" customFormat="1" ht="30" customHeight="1" x14ac:dyDescent="0.4">
      <c r="A584" s="63">
        <f>A583+1</f>
        <v>260</v>
      </c>
      <c r="B584" s="74" t="s">
        <v>292</v>
      </c>
      <c r="C584" s="75" t="s">
        <v>16</v>
      </c>
      <c r="D584" s="86">
        <f>0.26</f>
        <v>0.26</v>
      </c>
      <c r="E584" s="77"/>
      <c r="F584" s="25"/>
    </row>
    <row r="585" spans="1:28" ht="30" hidden="1" customHeight="1" outlineLevel="1" x14ac:dyDescent="0.35">
      <c r="A585" s="16"/>
      <c r="B585" s="17" t="s">
        <v>82</v>
      </c>
      <c r="C585" s="81" t="s">
        <v>16</v>
      </c>
      <c r="D585" s="67">
        <f>3.6*8/1000*4</f>
        <v>0.1152</v>
      </c>
      <c r="E585" s="18"/>
      <c r="F585" s="47"/>
    </row>
    <row r="586" spans="1:28" ht="30" hidden="1" customHeight="1" outlineLevel="1" x14ac:dyDescent="0.35">
      <c r="A586" s="16"/>
      <c r="B586" s="17" t="s">
        <v>163</v>
      </c>
      <c r="C586" s="81" t="s">
        <v>16</v>
      </c>
      <c r="D586" s="67">
        <f>((9*0.62)+(20*0.13))/1000*4</f>
        <v>3.2719999999999999E-2</v>
      </c>
      <c r="E586" s="18"/>
      <c r="F586" s="47"/>
    </row>
    <row r="587" spans="1:28" s="24" customFormat="1" ht="30" hidden="1" customHeight="1" outlineLevel="1" x14ac:dyDescent="0.4">
      <c r="A587" s="26"/>
      <c r="B587" s="17" t="s">
        <v>306</v>
      </c>
      <c r="C587" s="81" t="s">
        <v>16</v>
      </c>
      <c r="D587" s="67">
        <f>((19.1+8.88)*4)/1000</f>
        <v>0.11192000000000002</v>
      </c>
      <c r="E587" s="67"/>
      <c r="F587" s="25"/>
    </row>
    <row r="588" spans="1:28" ht="31" customHeight="1" collapsed="1" x14ac:dyDescent="0.35">
      <c r="A588" s="63">
        <f>A584+1</f>
        <v>261</v>
      </c>
      <c r="B588" s="14" t="s">
        <v>303</v>
      </c>
      <c r="C588" s="15" t="s">
        <v>17</v>
      </c>
      <c r="D588" s="77">
        <f>1.16*4</f>
        <v>4.6399999999999997</v>
      </c>
      <c r="E588" s="15"/>
      <c r="F588" s="47"/>
    </row>
    <row r="589" spans="1:28" ht="31" hidden="1" customHeight="1" outlineLevel="1" x14ac:dyDescent="0.35">
      <c r="A589" s="16"/>
      <c r="B589" s="17" t="s">
        <v>83</v>
      </c>
      <c r="C589" s="81" t="s">
        <v>17</v>
      </c>
      <c r="D589" s="102">
        <v>4.6399999999999997</v>
      </c>
      <c r="E589" s="81"/>
      <c r="F589" s="47"/>
    </row>
    <row r="590" spans="1:28" s="24" customFormat="1" ht="30" customHeight="1" collapsed="1" x14ac:dyDescent="0.4">
      <c r="A590" s="63">
        <f>A588+1</f>
        <v>262</v>
      </c>
      <c r="B590" s="19" t="s">
        <v>307</v>
      </c>
      <c r="C590" s="20" t="s">
        <v>16</v>
      </c>
      <c r="D590" s="84">
        <f>0.069</f>
        <v>6.9000000000000006E-2</v>
      </c>
      <c r="E590" s="77"/>
      <c r="F590" s="25"/>
    </row>
    <row r="591" spans="1:28" s="24" customFormat="1" ht="30" hidden="1" customHeight="1" outlineLevel="1" x14ac:dyDescent="0.4">
      <c r="A591" s="26"/>
      <c r="B591" s="17" t="s">
        <v>304</v>
      </c>
      <c r="C591" s="81" t="s">
        <v>18</v>
      </c>
      <c r="D591" s="83">
        <f>4*6</f>
        <v>24</v>
      </c>
      <c r="E591" s="67">
        <f>24*2.31/1000</f>
        <v>5.5439999999999996E-2</v>
      </c>
      <c r="F591" s="25"/>
    </row>
    <row r="592" spans="1:28" s="24" customFormat="1" ht="30" hidden="1" customHeight="1" outlineLevel="1" x14ac:dyDescent="0.4">
      <c r="A592" s="26"/>
      <c r="B592" s="17" t="s">
        <v>305</v>
      </c>
      <c r="C592" s="81" t="s">
        <v>16</v>
      </c>
      <c r="D592" s="67">
        <f>3.41*4/1000</f>
        <v>1.3640000000000001E-2</v>
      </c>
      <c r="E592" s="67"/>
      <c r="F592" s="25"/>
    </row>
    <row r="593" spans="1:28" ht="36" customHeight="1" collapsed="1" x14ac:dyDescent="0.35">
      <c r="A593" s="63">
        <f>A590+1</f>
        <v>263</v>
      </c>
      <c r="B593" s="19" t="s">
        <v>110</v>
      </c>
      <c r="C593" s="15" t="s">
        <v>17</v>
      </c>
      <c r="D593" s="23">
        <v>0.04</v>
      </c>
      <c r="E593" s="15"/>
      <c r="F593" s="47"/>
    </row>
    <row r="594" spans="1:28" s="24" customFormat="1" ht="30" customHeight="1" x14ac:dyDescent="0.4">
      <c r="A594" s="63">
        <f>A593+1</f>
        <v>264</v>
      </c>
      <c r="B594" s="19" t="s">
        <v>108</v>
      </c>
      <c r="C594" s="20" t="s">
        <v>107</v>
      </c>
      <c r="D594" s="77" t="s">
        <v>308</v>
      </c>
      <c r="E594" s="77"/>
      <c r="F594" s="25"/>
    </row>
    <row r="595" spans="1:28" s="46" customFormat="1" ht="36" hidden="1" customHeight="1" outlineLevel="1" x14ac:dyDescent="0.35">
      <c r="A595" s="73"/>
      <c r="B595" s="103" t="s">
        <v>423</v>
      </c>
      <c r="C595" s="104" t="s">
        <v>17</v>
      </c>
      <c r="D595" s="81">
        <v>0.04</v>
      </c>
      <c r="E595" s="17"/>
      <c r="F595" s="41"/>
      <c r="G595" s="42"/>
      <c r="H595" s="43"/>
      <c r="I595" s="44"/>
      <c r="J595" s="44"/>
      <c r="K595" s="45"/>
      <c r="L595" s="45"/>
      <c r="M595" s="45"/>
      <c r="N595" s="43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  <c r="AA595" s="45"/>
      <c r="AB595" s="45"/>
    </row>
    <row r="596" spans="1:28" s="46" customFormat="1" ht="21" customHeight="1" collapsed="1" x14ac:dyDescent="0.35">
      <c r="A596" s="115" t="s">
        <v>320</v>
      </c>
      <c r="B596" s="115"/>
      <c r="C596" s="115"/>
      <c r="D596" s="115"/>
      <c r="E596" s="115"/>
      <c r="F596" s="41"/>
      <c r="G596" s="42"/>
      <c r="H596" s="43"/>
      <c r="I596" s="44"/>
      <c r="J596" s="44"/>
      <c r="K596" s="45"/>
      <c r="L596" s="45"/>
      <c r="M596" s="45"/>
      <c r="N596" s="43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  <c r="AA596" s="45"/>
      <c r="AB596" s="45"/>
    </row>
    <row r="597" spans="1:28" s="24" customFormat="1" ht="30" customHeight="1" x14ac:dyDescent="0.4">
      <c r="A597" s="63">
        <f>A594+1</f>
        <v>265</v>
      </c>
      <c r="B597" s="19" t="s">
        <v>328</v>
      </c>
      <c r="C597" s="20" t="s">
        <v>21</v>
      </c>
      <c r="D597" s="84" t="s">
        <v>460</v>
      </c>
      <c r="E597" s="77"/>
      <c r="F597" s="25"/>
    </row>
    <row r="598" spans="1:28" s="24" customFormat="1" ht="30" hidden="1" customHeight="1" outlineLevel="1" x14ac:dyDescent="0.4">
      <c r="A598" s="26"/>
      <c r="B598" s="17" t="s">
        <v>321</v>
      </c>
      <c r="C598" s="81" t="s">
        <v>16</v>
      </c>
      <c r="D598" s="67">
        <v>0.50700000000000001</v>
      </c>
      <c r="E598" s="67"/>
      <c r="F598" s="25"/>
    </row>
    <row r="599" spans="1:28" s="24" customFormat="1" ht="30" hidden="1" customHeight="1" outlineLevel="1" x14ac:dyDescent="0.4">
      <c r="A599" s="26"/>
      <c r="B599" s="17" t="s">
        <v>322</v>
      </c>
      <c r="C599" s="81" t="s">
        <v>16</v>
      </c>
      <c r="D599" s="67">
        <v>0.222</v>
      </c>
      <c r="E599" s="67"/>
      <c r="F599" s="25"/>
    </row>
    <row r="600" spans="1:28" s="24" customFormat="1" ht="30" hidden="1" customHeight="1" outlineLevel="1" x14ac:dyDescent="0.4">
      <c r="A600" s="26"/>
      <c r="B600" s="17" t="s">
        <v>323</v>
      </c>
      <c r="C600" s="81" t="s">
        <v>16</v>
      </c>
      <c r="D600" s="67">
        <v>2.5000000000000001E-2</v>
      </c>
      <c r="E600" s="67"/>
      <c r="F600" s="25"/>
    </row>
    <row r="601" spans="1:28" s="24" customFormat="1" ht="30" hidden="1" customHeight="1" outlineLevel="1" x14ac:dyDescent="0.4">
      <c r="A601" s="26"/>
      <c r="B601" s="17" t="s">
        <v>324</v>
      </c>
      <c r="C601" s="81" t="s">
        <v>16</v>
      </c>
      <c r="D601" s="67">
        <v>7.0000000000000001E-3</v>
      </c>
      <c r="E601" s="67"/>
      <c r="F601" s="25"/>
    </row>
    <row r="602" spans="1:28" s="24" customFormat="1" ht="30" hidden="1" customHeight="1" outlineLevel="1" x14ac:dyDescent="0.4">
      <c r="A602" s="26"/>
      <c r="B602" s="17" t="s">
        <v>325</v>
      </c>
      <c r="C602" s="81" t="s">
        <v>16</v>
      </c>
      <c r="D602" s="67">
        <v>0.16200000000000001</v>
      </c>
      <c r="E602" s="67"/>
      <c r="F602" s="25"/>
    </row>
    <row r="603" spans="1:28" s="24" customFormat="1" ht="30" hidden="1" customHeight="1" outlineLevel="1" x14ac:dyDescent="0.4">
      <c r="A603" s="26"/>
      <c r="B603" s="17" t="s">
        <v>326</v>
      </c>
      <c r="C603" s="81" t="s">
        <v>16</v>
      </c>
      <c r="D603" s="67">
        <v>1.4E-2</v>
      </c>
      <c r="E603" s="67"/>
      <c r="F603" s="25"/>
    </row>
    <row r="604" spans="1:28" s="24" customFormat="1" ht="30" hidden="1" customHeight="1" outlineLevel="1" x14ac:dyDescent="0.4">
      <c r="A604" s="26"/>
      <c r="B604" s="17" t="s">
        <v>327</v>
      </c>
      <c r="C604" s="81" t="s">
        <v>16</v>
      </c>
      <c r="D604" s="67">
        <v>0.249</v>
      </c>
      <c r="E604" s="67"/>
      <c r="F604" s="25"/>
    </row>
    <row r="605" spans="1:28" ht="36" customHeight="1" collapsed="1" x14ac:dyDescent="0.35">
      <c r="A605" s="63">
        <f>A597+1</f>
        <v>266</v>
      </c>
      <c r="B605" s="19" t="s">
        <v>34</v>
      </c>
      <c r="C605" s="15" t="s">
        <v>19</v>
      </c>
      <c r="D605" s="64">
        <f>((0.219*3.66*3.14)+(0.2*0.2*9)+4)*2</f>
        <v>13.753671200000001</v>
      </c>
      <c r="E605" s="15"/>
      <c r="F605" s="47"/>
    </row>
    <row r="606" spans="1:28" ht="36" customHeight="1" x14ac:dyDescent="0.35">
      <c r="A606" s="63">
        <f>A605+1</f>
        <v>267</v>
      </c>
      <c r="B606" s="19" t="s">
        <v>51</v>
      </c>
      <c r="C606" s="15" t="s">
        <v>19</v>
      </c>
      <c r="D606" s="64">
        <f>((0.219*3.66*3.14)+(0.2*0.2*9)+4)*2</f>
        <v>13.753671200000001</v>
      </c>
      <c r="E606" s="15"/>
      <c r="F606" s="47"/>
    </row>
    <row r="607" spans="1:28" ht="36" customHeight="1" x14ac:dyDescent="0.35">
      <c r="A607" s="63">
        <f>A606+1</f>
        <v>268</v>
      </c>
      <c r="B607" s="19" t="s">
        <v>52</v>
      </c>
      <c r="C607" s="15" t="s">
        <v>19</v>
      </c>
      <c r="D607" s="64">
        <f>((0.219*3.66*3.14)+(0.2*0.2*9)+4)*2</f>
        <v>13.753671200000001</v>
      </c>
      <c r="E607" s="15"/>
      <c r="F607" s="47"/>
    </row>
    <row r="608" spans="1:28" s="24" customFormat="1" ht="30" customHeight="1" x14ac:dyDescent="0.4">
      <c r="A608" s="63">
        <f>A607+1</f>
        <v>269</v>
      </c>
      <c r="B608" s="19" t="s">
        <v>89</v>
      </c>
      <c r="C608" s="20" t="s">
        <v>19</v>
      </c>
      <c r="D608" s="64">
        <f>((0.219*3.66*3.14)+(0.2*0.2*9)+4)*2</f>
        <v>13.753671200000001</v>
      </c>
      <c r="E608" s="77"/>
      <c r="F608" s="25"/>
    </row>
    <row r="609" spans="1:28" s="24" customFormat="1" ht="30" hidden="1" customHeight="1" outlineLevel="1" x14ac:dyDescent="0.4">
      <c r="A609" s="26"/>
      <c r="B609" s="17" t="s">
        <v>88</v>
      </c>
      <c r="C609" s="81" t="s">
        <v>25</v>
      </c>
      <c r="D609" s="82">
        <f>13.8*0.36*2</f>
        <v>9.9359999999999999</v>
      </c>
      <c r="E609" s="81">
        <v>0.01</v>
      </c>
      <c r="F609" s="25"/>
    </row>
    <row r="610" spans="1:28" s="46" customFormat="1" ht="21" customHeight="1" collapsed="1" x14ac:dyDescent="0.35">
      <c r="A610" s="115" t="s">
        <v>319</v>
      </c>
      <c r="B610" s="115"/>
      <c r="C610" s="115"/>
      <c r="D610" s="115"/>
      <c r="E610" s="115"/>
      <c r="F610" s="41"/>
      <c r="G610" s="42"/>
      <c r="H610" s="43"/>
      <c r="I610" s="44"/>
      <c r="J610" s="44"/>
      <c r="K610" s="45"/>
      <c r="L610" s="45"/>
      <c r="M610" s="45"/>
      <c r="N610" s="43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  <c r="AA610" s="45"/>
      <c r="AB610" s="45"/>
    </row>
    <row r="611" spans="1:28" s="46" customFormat="1" ht="21" customHeight="1" x14ac:dyDescent="0.35">
      <c r="A611" s="116" t="s">
        <v>329</v>
      </c>
      <c r="B611" s="116"/>
      <c r="C611" s="116"/>
      <c r="D611" s="116"/>
      <c r="E611" s="116"/>
      <c r="F611" s="41"/>
      <c r="G611" s="42"/>
      <c r="H611" s="43"/>
      <c r="I611" s="44"/>
      <c r="J611" s="44"/>
      <c r="K611" s="45"/>
      <c r="L611" s="45"/>
      <c r="M611" s="45"/>
      <c r="N611" s="43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  <c r="AA611" s="45"/>
      <c r="AB611" s="45"/>
    </row>
    <row r="612" spans="1:28" ht="30" customHeight="1" x14ac:dyDescent="0.35">
      <c r="A612" s="63">
        <f>A608+1</f>
        <v>270</v>
      </c>
      <c r="B612" s="19" t="s">
        <v>300</v>
      </c>
      <c r="C612" s="66" t="s">
        <v>291</v>
      </c>
      <c r="D612" s="71" t="s">
        <v>330</v>
      </c>
      <c r="E612" s="15"/>
      <c r="F612" s="47"/>
    </row>
    <row r="613" spans="1:28" s="24" customFormat="1" ht="30" customHeight="1" x14ac:dyDescent="0.4">
      <c r="A613" s="63">
        <f>A612+1</f>
        <v>271</v>
      </c>
      <c r="B613" s="74" t="s">
        <v>292</v>
      </c>
      <c r="C613" s="75" t="s">
        <v>16</v>
      </c>
      <c r="D613" s="86">
        <f>0.13</f>
        <v>0.13</v>
      </c>
      <c r="E613" s="77"/>
      <c r="F613" s="25"/>
    </row>
    <row r="614" spans="1:28" ht="30" hidden="1" customHeight="1" outlineLevel="1" x14ac:dyDescent="0.35">
      <c r="A614" s="16"/>
      <c r="B614" s="17" t="s">
        <v>82</v>
      </c>
      <c r="C614" s="81" t="s">
        <v>16</v>
      </c>
      <c r="D614" s="67">
        <f>3.6*8/1000*2</f>
        <v>5.7599999999999998E-2</v>
      </c>
      <c r="E614" s="18"/>
      <c r="F614" s="47"/>
    </row>
    <row r="615" spans="1:28" ht="30" hidden="1" customHeight="1" outlineLevel="1" x14ac:dyDescent="0.35">
      <c r="A615" s="16"/>
      <c r="B615" s="17" t="s">
        <v>163</v>
      </c>
      <c r="C615" s="81" t="s">
        <v>16</v>
      </c>
      <c r="D615" s="67">
        <f>((9*0.62)+(20*0.13))/1000*2</f>
        <v>1.636E-2</v>
      </c>
      <c r="E615" s="18"/>
      <c r="F615" s="47"/>
    </row>
    <row r="616" spans="1:28" s="24" customFormat="1" ht="30" hidden="1" customHeight="1" outlineLevel="1" x14ac:dyDescent="0.4">
      <c r="A616" s="26"/>
      <c r="B616" s="17" t="s">
        <v>306</v>
      </c>
      <c r="C616" s="81" t="s">
        <v>16</v>
      </c>
      <c r="D616" s="67">
        <f>((19.1+8.88)*2)/1000</f>
        <v>5.596000000000001E-2</v>
      </c>
      <c r="E616" s="67"/>
      <c r="F616" s="25"/>
    </row>
    <row r="617" spans="1:28" ht="31" customHeight="1" collapsed="1" x14ac:dyDescent="0.35">
      <c r="A617" s="63">
        <f>A613+1</f>
        <v>272</v>
      </c>
      <c r="B617" s="14" t="s">
        <v>303</v>
      </c>
      <c r="C617" s="15" t="s">
        <v>17</v>
      </c>
      <c r="D617" s="77">
        <v>1.1599999999999999</v>
      </c>
      <c r="E617" s="15"/>
      <c r="F617" s="47"/>
    </row>
    <row r="618" spans="1:28" ht="31" hidden="1" customHeight="1" outlineLevel="1" x14ac:dyDescent="0.35">
      <c r="A618" s="16"/>
      <c r="B618" s="17" t="s">
        <v>83</v>
      </c>
      <c r="C618" s="81" t="s">
        <v>17</v>
      </c>
      <c r="D618" s="102">
        <v>1.1599999999999999</v>
      </c>
      <c r="E618" s="81"/>
      <c r="F618" s="47"/>
    </row>
    <row r="619" spans="1:28" s="24" customFormat="1" ht="30" customHeight="1" collapsed="1" x14ac:dyDescent="0.4">
      <c r="A619" s="63">
        <f>A617+1</f>
        <v>273</v>
      </c>
      <c r="B619" s="19" t="s">
        <v>307</v>
      </c>
      <c r="C619" s="20" t="s">
        <v>16</v>
      </c>
      <c r="D619" s="84">
        <f>0.035</f>
        <v>3.5000000000000003E-2</v>
      </c>
      <c r="E619" s="77"/>
      <c r="F619" s="25"/>
    </row>
    <row r="620" spans="1:28" s="24" customFormat="1" ht="30" hidden="1" customHeight="1" outlineLevel="1" x14ac:dyDescent="0.4">
      <c r="A620" s="26"/>
      <c r="B620" s="17" t="s">
        <v>304</v>
      </c>
      <c r="C620" s="81" t="s">
        <v>18</v>
      </c>
      <c r="D620" s="83">
        <f>2*6</f>
        <v>12</v>
      </c>
      <c r="E620" s="67">
        <f>12*2.31/1000</f>
        <v>2.7719999999999998E-2</v>
      </c>
      <c r="F620" s="25"/>
    </row>
    <row r="621" spans="1:28" s="24" customFormat="1" ht="30" hidden="1" customHeight="1" outlineLevel="1" x14ac:dyDescent="0.4">
      <c r="A621" s="26"/>
      <c r="B621" s="17" t="s">
        <v>305</v>
      </c>
      <c r="C621" s="81" t="s">
        <v>16</v>
      </c>
      <c r="D621" s="67">
        <f>3.41*2/1000</f>
        <v>6.8200000000000005E-3</v>
      </c>
      <c r="E621" s="67"/>
      <c r="F621" s="25"/>
    </row>
    <row r="622" spans="1:28" ht="36" customHeight="1" collapsed="1" x14ac:dyDescent="0.35">
      <c r="A622" s="63">
        <f>A619+1</f>
        <v>274</v>
      </c>
      <c r="B622" s="19" t="s">
        <v>110</v>
      </c>
      <c r="C622" s="15" t="s">
        <v>17</v>
      </c>
      <c r="D622" s="23">
        <v>0.02</v>
      </c>
      <c r="E622" s="15"/>
      <c r="F622" s="47"/>
    </row>
    <row r="623" spans="1:28" s="24" customFormat="1" ht="30" customHeight="1" x14ac:dyDescent="0.4">
      <c r="A623" s="63">
        <f>A622+1</f>
        <v>275</v>
      </c>
      <c r="B623" s="19" t="s">
        <v>108</v>
      </c>
      <c r="C623" s="20" t="s">
        <v>107</v>
      </c>
      <c r="D623" s="77" t="s">
        <v>331</v>
      </c>
      <c r="E623" s="77"/>
      <c r="F623" s="25"/>
    </row>
    <row r="624" spans="1:28" s="46" customFormat="1" ht="36" hidden="1" customHeight="1" outlineLevel="1" x14ac:dyDescent="0.35">
      <c r="A624" s="73"/>
      <c r="B624" s="103" t="s">
        <v>423</v>
      </c>
      <c r="C624" s="104" t="s">
        <v>17</v>
      </c>
      <c r="D624" s="81">
        <v>0.02</v>
      </c>
      <c r="E624" s="17"/>
      <c r="F624" s="41"/>
      <c r="G624" s="42"/>
      <c r="H624" s="43"/>
      <c r="I624" s="44"/>
      <c r="J624" s="44"/>
      <c r="K624" s="45"/>
      <c r="L624" s="45"/>
      <c r="M624" s="45"/>
      <c r="N624" s="43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  <c r="AA624" s="45"/>
      <c r="AB624" s="45"/>
    </row>
    <row r="625" spans="1:28" s="46" customFormat="1" ht="21" customHeight="1" collapsed="1" x14ac:dyDescent="0.35">
      <c r="A625" s="115" t="s">
        <v>320</v>
      </c>
      <c r="B625" s="115"/>
      <c r="C625" s="115"/>
      <c r="D625" s="115"/>
      <c r="E625" s="115"/>
      <c r="F625" s="41"/>
      <c r="G625" s="42"/>
      <c r="H625" s="43"/>
      <c r="I625" s="44"/>
      <c r="J625" s="44"/>
      <c r="K625" s="45"/>
      <c r="L625" s="45"/>
      <c r="M625" s="45"/>
      <c r="N625" s="43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  <c r="AA625" s="45"/>
      <c r="AB625" s="45"/>
    </row>
    <row r="626" spans="1:28" s="24" customFormat="1" ht="30" customHeight="1" x14ac:dyDescent="0.4">
      <c r="A626" s="63">
        <f>A623+1</f>
        <v>276</v>
      </c>
      <c r="B626" s="19" t="s">
        <v>328</v>
      </c>
      <c r="C626" s="20" t="s">
        <v>21</v>
      </c>
      <c r="D626" s="84" t="s">
        <v>459</v>
      </c>
      <c r="E626" s="77"/>
      <c r="F626" s="25"/>
    </row>
    <row r="627" spans="1:28" s="24" customFormat="1" ht="30" hidden="1" customHeight="1" outlineLevel="1" x14ac:dyDescent="0.4">
      <c r="A627" s="26"/>
      <c r="B627" s="17" t="s">
        <v>321</v>
      </c>
      <c r="C627" s="81" t="s">
        <v>16</v>
      </c>
      <c r="D627" s="67">
        <v>0.253</v>
      </c>
      <c r="E627" s="67"/>
      <c r="F627" s="25"/>
    </row>
    <row r="628" spans="1:28" s="24" customFormat="1" ht="30" hidden="1" customHeight="1" outlineLevel="1" x14ac:dyDescent="0.4">
      <c r="A628" s="26"/>
      <c r="B628" s="17" t="s">
        <v>322</v>
      </c>
      <c r="C628" s="81" t="s">
        <v>16</v>
      </c>
      <c r="D628" s="67">
        <v>0.111</v>
      </c>
      <c r="E628" s="67"/>
      <c r="F628" s="25"/>
    </row>
    <row r="629" spans="1:28" s="24" customFormat="1" ht="30" hidden="1" customHeight="1" outlineLevel="1" x14ac:dyDescent="0.4">
      <c r="A629" s="26"/>
      <c r="B629" s="17" t="s">
        <v>323</v>
      </c>
      <c r="C629" s="81" t="s">
        <v>16</v>
      </c>
      <c r="D629" s="67">
        <v>1.2999999999999999E-2</v>
      </c>
      <c r="E629" s="67"/>
      <c r="F629" s="25"/>
    </row>
    <row r="630" spans="1:28" s="24" customFormat="1" ht="30" hidden="1" customHeight="1" outlineLevel="1" x14ac:dyDescent="0.4">
      <c r="A630" s="26"/>
      <c r="B630" s="17" t="s">
        <v>324</v>
      </c>
      <c r="C630" s="81" t="s">
        <v>16</v>
      </c>
      <c r="D630" s="67">
        <v>1.4E-2</v>
      </c>
      <c r="E630" s="67"/>
      <c r="F630" s="25"/>
    </row>
    <row r="631" spans="1:28" s="24" customFormat="1" ht="30" hidden="1" customHeight="1" outlineLevel="1" x14ac:dyDescent="0.4">
      <c r="A631" s="26"/>
      <c r="B631" s="17" t="s">
        <v>325</v>
      </c>
      <c r="C631" s="81" t="s">
        <v>16</v>
      </c>
      <c r="D631" s="67">
        <v>8.1000000000000003E-2</v>
      </c>
      <c r="E631" s="67"/>
      <c r="F631" s="25"/>
    </row>
    <row r="632" spans="1:28" s="24" customFormat="1" ht="30" hidden="1" customHeight="1" outlineLevel="1" x14ac:dyDescent="0.4">
      <c r="A632" s="26"/>
      <c r="B632" s="17" t="s">
        <v>326</v>
      </c>
      <c r="C632" s="81" t="s">
        <v>16</v>
      </c>
      <c r="D632" s="67">
        <v>7.0000000000000001E-3</v>
      </c>
      <c r="E632" s="67"/>
      <c r="F632" s="25"/>
    </row>
    <row r="633" spans="1:28" s="24" customFormat="1" ht="30" hidden="1" customHeight="1" outlineLevel="1" x14ac:dyDescent="0.4">
      <c r="A633" s="26"/>
      <c r="B633" s="17" t="s">
        <v>327</v>
      </c>
      <c r="C633" s="81" t="s">
        <v>16</v>
      </c>
      <c r="D633" s="67">
        <v>0.124</v>
      </c>
      <c r="E633" s="67"/>
      <c r="F633" s="25"/>
    </row>
    <row r="634" spans="1:28" ht="36" customHeight="1" collapsed="1" x14ac:dyDescent="0.35">
      <c r="A634" s="63">
        <f>A626+1</f>
        <v>277</v>
      </c>
      <c r="B634" s="19" t="s">
        <v>34</v>
      </c>
      <c r="C634" s="15" t="s">
        <v>19</v>
      </c>
      <c r="D634" s="64">
        <f>((0.219*3.66*3.14)+(0.2*0.2*9)+4)*1</f>
        <v>6.8768356000000006</v>
      </c>
      <c r="E634" s="15"/>
      <c r="F634" s="47"/>
    </row>
    <row r="635" spans="1:28" ht="36" customHeight="1" x14ac:dyDescent="0.35">
      <c r="A635" s="63">
        <f>A634+1</f>
        <v>278</v>
      </c>
      <c r="B635" s="19" t="s">
        <v>51</v>
      </c>
      <c r="C635" s="15" t="s">
        <v>19</v>
      </c>
      <c r="D635" s="64">
        <f>((0.219*3.66*3.14)+(0.2*0.2*9)+4)*1</f>
        <v>6.8768356000000006</v>
      </c>
      <c r="E635" s="15"/>
      <c r="F635" s="47"/>
    </row>
    <row r="636" spans="1:28" ht="36" customHeight="1" x14ac:dyDescent="0.35">
      <c r="A636" s="63">
        <f>A635+1</f>
        <v>279</v>
      </c>
      <c r="B636" s="19" t="s">
        <v>52</v>
      </c>
      <c r="C636" s="15" t="s">
        <v>19</v>
      </c>
      <c r="D636" s="64">
        <f>((0.219*3.66*3.14)+(0.2*0.2*9)+4)*1</f>
        <v>6.8768356000000006</v>
      </c>
      <c r="E636" s="15"/>
      <c r="F636" s="47"/>
    </row>
    <row r="637" spans="1:28" s="24" customFormat="1" ht="30" customHeight="1" x14ac:dyDescent="0.4">
      <c r="A637" s="63">
        <f>A636+1</f>
        <v>280</v>
      </c>
      <c r="B637" s="19" t="s">
        <v>89</v>
      </c>
      <c r="C637" s="20" t="s">
        <v>19</v>
      </c>
      <c r="D637" s="64">
        <f>((0.219*3.66*3.14)+(0.2*0.2*9)+4)*1</f>
        <v>6.8768356000000006</v>
      </c>
      <c r="E637" s="77"/>
      <c r="F637" s="25"/>
    </row>
    <row r="638" spans="1:28" s="24" customFormat="1" ht="30" hidden="1" customHeight="1" outlineLevel="1" x14ac:dyDescent="0.4">
      <c r="A638" s="26"/>
      <c r="B638" s="17" t="s">
        <v>88</v>
      </c>
      <c r="C638" s="81" t="s">
        <v>25</v>
      </c>
      <c r="D638" s="82">
        <f>6.9*0.36*2</f>
        <v>4.968</v>
      </c>
      <c r="E638" s="81">
        <v>5.0000000000000001E-3</v>
      </c>
      <c r="F638" s="25"/>
    </row>
    <row r="639" spans="1:28" s="46" customFormat="1" ht="21" customHeight="1" collapsed="1" x14ac:dyDescent="0.35">
      <c r="A639" s="115" t="s">
        <v>319</v>
      </c>
      <c r="B639" s="115"/>
      <c r="C639" s="115"/>
      <c r="D639" s="115"/>
      <c r="E639" s="115"/>
      <c r="F639" s="41"/>
      <c r="G639" s="42"/>
      <c r="H639" s="43"/>
      <c r="I639" s="44"/>
      <c r="J639" s="44"/>
      <c r="K639" s="45"/>
      <c r="L639" s="45"/>
      <c r="M639" s="45"/>
      <c r="N639" s="43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  <c r="AA639" s="45"/>
      <c r="AB639" s="45"/>
    </row>
    <row r="640" spans="1:28" s="46" customFormat="1" ht="21" customHeight="1" x14ac:dyDescent="0.35">
      <c r="A640" s="116" t="s">
        <v>332</v>
      </c>
      <c r="B640" s="116"/>
      <c r="C640" s="116"/>
      <c r="D640" s="116"/>
      <c r="E640" s="116"/>
      <c r="F640" s="41"/>
      <c r="G640" s="42"/>
      <c r="H640" s="43"/>
      <c r="I640" s="44"/>
      <c r="J640" s="44"/>
      <c r="K640" s="45"/>
      <c r="L640" s="45"/>
      <c r="M640" s="45"/>
      <c r="N640" s="43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  <c r="AA640" s="45"/>
      <c r="AB640" s="45"/>
    </row>
    <row r="641" spans="1:28" ht="30" customHeight="1" x14ac:dyDescent="0.35">
      <c r="A641" s="63">
        <f>A637+1</f>
        <v>281</v>
      </c>
      <c r="B641" s="19" t="s">
        <v>300</v>
      </c>
      <c r="C641" s="66" t="s">
        <v>291</v>
      </c>
      <c r="D641" s="71" t="s">
        <v>330</v>
      </c>
      <c r="E641" s="15"/>
      <c r="F641" s="47"/>
    </row>
    <row r="642" spans="1:28" s="24" customFormat="1" ht="30" customHeight="1" x14ac:dyDescent="0.4">
      <c r="A642" s="63">
        <f>A641+1</f>
        <v>282</v>
      </c>
      <c r="B642" s="74" t="s">
        <v>292</v>
      </c>
      <c r="C642" s="75" t="s">
        <v>16</v>
      </c>
      <c r="D642" s="86">
        <f>0.13</f>
        <v>0.13</v>
      </c>
      <c r="E642" s="77"/>
      <c r="F642" s="25"/>
    </row>
    <row r="643" spans="1:28" ht="30" hidden="1" customHeight="1" outlineLevel="1" x14ac:dyDescent="0.35">
      <c r="A643" s="16"/>
      <c r="B643" s="17" t="s">
        <v>82</v>
      </c>
      <c r="C643" s="81" t="s">
        <v>16</v>
      </c>
      <c r="D643" s="67">
        <f>3.6*8/1000*2</f>
        <v>5.7599999999999998E-2</v>
      </c>
      <c r="E643" s="18"/>
      <c r="F643" s="47"/>
    </row>
    <row r="644" spans="1:28" ht="30" hidden="1" customHeight="1" outlineLevel="1" x14ac:dyDescent="0.35">
      <c r="A644" s="16"/>
      <c r="B644" s="17" t="s">
        <v>163</v>
      </c>
      <c r="C644" s="81" t="s">
        <v>16</v>
      </c>
      <c r="D644" s="67">
        <f>((9*0.62)+(20*0.13))/1000*2</f>
        <v>1.636E-2</v>
      </c>
      <c r="E644" s="18"/>
      <c r="F644" s="47"/>
    </row>
    <row r="645" spans="1:28" s="24" customFormat="1" ht="30" hidden="1" customHeight="1" outlineLevel="1" x14ac:dyDescent="0.4">
      <c r="A645" s="26"/>
      <c r="B645" s="17" t="s">
        <v>306</v>
      </c>
      <c r="C645" s="81" t="s">
        <v>16</v>
      </c>
      <c r="D645" s="67">
        <f>((19.1+8.88)*2)/1000</f>
        <v>5.596000000000001E-2</v>
      </c>
      <c r="E645" s="67"/>
      <c r="F645" s="25"/>
    </row>
    <row r="646" spans="1:28" ht="31" customHeight="1" collapsed="1" x14ac:dyDescent="0.35">
      <c r="A646" s="63">
        <f>A642+1</f>
        <v>283</v>
      </c>
      <c r="B646" s="14" t="s">
        <v>303</v>
      </c>
      <c r="C646" s="15" t="s">
        <v>17</v>
      </c>
      <c r="D646" s="77">
        <v>1.1599999999999999</v>
      </c>
      <c r="E646" s="15"/>
      <c r="F646" s="47"/>
    </row>
    <row r="647" spans="1:28" ht="31" hidden="1" customHeight="1" outlineLevel="1" x14ac:dyDescent="0.35">
      <c r="A647" s="16"/>
      <c r="B647" s="17" t="s">
        <v>83</v>
      </c>
      <c r="C647" s="81" t="s">
        <v>17</v>
      </c>
      <c r="D647" s="102">
        <v>1.1599999999999999</v>
      </c>
      <c r="E647" s="81"/>
      <c r="F647" s="47"/>
    </row>
    <row r="648" spans="1:28" s="24" customFormat="1" ht="30" customHeight="1" collapsed="1" x14ac:dyDescent="0.4">
      <c r="A648" s="63">
        <f>A646+1</f>
        <v>284</v>
      </c>
      <c r="B648" s="19" t="s">
        <v>307</v>
      </c>
      <c r="C648" s="20" t="s">
        <v>16</v>
      </c>
      <c r="D648" s="84">
        <f>0.035</f>
        <v>3.5000000000000003E-2</v>
      </c>
      <c r="E648" s="77"/>
      <c r="F648" s="25"/>
    </row>
    <row r="649" spans="1:28" s="24" customFormat="1" ht="30" hidden="1" customHeight="1" outlineLevel="1" x14ac:dyDescent="0.4">
      <c r="A649" s="26"/>
      <c r="B649" s="17" t="s">
        <v>304</v>
      </c>
      <c r="C649" s="81" t="s">
        <v>18</v>
      </c>
      <c r="D649" s="83">
        <f>2*6</f>
        <v>12</v>
      </c>
      <c r="E649" s="67">
        <f>12*2.31/1000</f>
        <v>2.7719999999999998E-2</v>
      </c>
      <c r="F649" s="25"/>
    </row>
    <row r="650" spans="1:28" s="24" customFormat="1" ht="30" hidden="1" customHeight="1" outlineLevel="1" x14ac:dyDescent="0.4">
      <c r="A650" s="26"/>
      <c r="B650" s="17" t="s">
        <v>305</v>
      </c>
      <c r="C650" s="81" t="s">
        <v>16</v>
      </c>
      <c r="D650" s="67">
        <f>3.41*2/1000</f>
        <v>6.8200000000000005E-3</v>
      </c>
      <c r="E650" s="67"/>
      <c r="F650" s="25"/>
    </row>
    <row r="651" spans="1:28" ht="36" customHeight="1" collapsed="1" x14ac:dyDescent="0.35">
      <c r="A651" s="63">
        <f>A648+1</f>
        <v>285</v>
      </c>
      <c r="B651" s="19" t="s">
        <v>110</v>
      </c>
      <c r="C651" s="15" t="s">
        <v>17</v>
      </c>
      <c r="D651" s="23">
        <v>0.02</v>
      </c>
      <c r="E651" s="15"/>
      <c r="F651" s="47"/>
    </row>
    <row r="652" spans="1:28" s="24" customFormat="1" ht="30" customHeight="1" x14ac:dyDescent="0.4">
      <c r="A652" s="63">
        <f>A651+1</f>
        <v>286</v>
      </c>
      <c r="B652" s="19" t="s">
        <v>108</v>
      </c>
      <c r="C652" s="20" t="s">
        <v>107</v>
      </c>
      <c r="D652" s="77" t="s">
        <v>331</v>
      </c>
      <c r="E652" s="77"/>
      <c r="F652" s="25"/>
    </row>
    <row r="653" spans="1:28" s="46" customFormat="1" ht="36" hidden="1" customHeight="1" outlineLevel="1" x14ac:dyDescent="0.35">
      <c r="A653" s="73"/>
      <c r="B653" s="103" t="s">
        <v>423</v>
      </c>
      <c r="C653" s="104" t="s">
        <v>17</v>
      </c>
      <c r="D653" s="81">
        <v>0.02</v>
      </c>
      <c r="E653" s="17"/>
      <c r="F653" s="41"/>
      <c r="G653" s="42"/>
      <c r="H653" s="43"/>
      <c r="I653" s="44"/>
      <c r="J653" s="44"/>
      <c r="K653" s="45"/>
      <c r="L653" s="45"/>
      <c r="M653" s="45"/>
      <c r="N653" s="43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  <c r="AA653" s="45"/>
      <c r="AB653" s="45"/>
    </row>
    <row r="654" spans="1:28" s="46" customFormat="1" ht="21" customHeight="1" collapsed="1" x14ac:dyDescent="0.35">
      <c r="A654" s="115" t="s">
        <v>320</v>
      </c>
      <c r="B654" s="115"/>
      <c r="C654" s="115"/>
      <c r="D654" s="115"/>
      <c r="E654" s="115"/>
      <c r="F654" s="41"/>
      <c r="G654" s="42"/>
      <c r="H654" s="43"/>
      <c r="I654" s="44"/>
      <c r="J654" s="44"/>
      <c r="K654" s="45"/>
      <c r="L654" s="45"/>
      <c r="M654" s="45"/>
      <c r="N654" s="43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  <c r="AA654" s="45"/>
      <c r="AB654" s="45"/>
    </row>
    <row r="655" spans="1:28" s="24" customFormat="1" ht="30" customHeight="1" x14ac:dyDescent="0.4">
      <c r="A655" s="63">
        <f>A652+1</f>
        <v>287</v>
      </c>
      <c r="B655" s="19" t="s">
        <v>328</v>
      </c>
      <c r="C655" s="20" t="s">
        <v>21</v>
      </c>
      <c r="D655" s="84" t="s">
        <v>458</v>
      </c>
      <c r="E655" s="77"/>
      <c r="F655" s="25"/>
    </row>
    <row r="656" spans="1:28" s="24" customFormat="1" ht="30" hidden="1" customHeight="1" outlineLevel="1" x14ac:dyDescent="0.4">
      <c r="A656" s="26"/>
      <c r="B656" s="17" t="s">
        <v>321</v>
      </c>
      <c r="C656" s="81" t="s">
        <v>16</v>
      </c>
      <c r="D656" s="67">
        <v>0.253</v>
      </c>
      <c r="E656" s="67"/>
      <c r="F656" s="25"/>
    </row>
    <row r="657" spans="1:28" s="24" customFormat="1" ht="30" hidden="1" customHeight="1" outlineLevel="1" x14ac:dyDescent="0.4">
      <c r="A657" s="26"/>
      <c r="B657" s="17" t="s">
        <v>322</v>
      </c>
      <c r="C657" s="81" t="s">
        <v>16</v>
      </c>
      <c r="D657" s="67">
        <v>0.11700000000000001</v>
      </c>
      <c r="E657" s="67"/>
      <c r="F657" s="25"/>
    </row>
    <row r="658" spans="1:28" s="24" customFormat="1" ht="30" hidden="1" customHeight="1" outlineLevel="1" x14ac:dyDescent="0.4">
      <c r="A658" s="26"/>
      <c r="B658" s="17" t="s">
        <v>323</v>
      </c>
      <c r="C658" s="81" t="s">
        <v>16</v>
      </c>
      <c r="D658" s="67">
        <v>1.2999999999999999E-2</v>
      </c>
      <c r="E658" s="67"/>
      <c r="F658" s="25"/>
    </row>
    <row r="659" spans="1:28" s="24" customFormat="1" ht="30" hidden="1" customHeight="1" outlineLevel="1" x14ac:dyDescent="0.4">
      <c r="A659" s="26"/>
      <c r="B659" s="17" t="s">
        <v>324</v>
      </c>
      <c r="C659" s="81" t="s">
        <v>16</v>
      </c>
      <c r="D659" s="67">
        <v>7.0000000000000001E-3</v>
      </c>
      <c r="E659" s="67"/>
      <c r="F659" s="25"/>
    </row>
    <row r="660" spans="1:28" s="24" customFormat="1" ht="30" hidden="1" customHeight="1" outlineLevel="1" x14ac:dyDescent="0.4">
      <c r="A660" s="26"/>
      <c r="B660" s="17" t="s">
        <v>325</v>
      </c>
      <c r="C660" s="81" t="s">
        <v>16</v>
      </c>
      <c r="D660" s="67">
        <v>0.10299999999999999</v>
      </c>
      <c r="E660" s="67"/>
      <c r="F660" s="25"/>
    </row>
    <row r="661" spans="1:28" s="24" customFormat="1" ht="30" hidden="1" customHeight="1" outlineLevel="1" x14ac:dyDescent="0.4">
      <c r="A661" s="26"/>
      <c r="B661" s="17" t="s">
        <v>326</v>
      </c>
      <c r="C661" s="81" t="s">
        <v>16</v>
      </c>
      <c r="D661" s="67">
        <v>7.0000000000000001E-3</v>
      </c>
      <c r="E661" s="67"/>
      <c r="F661" s="25"/>
    </row>
    <row r="662" spans="1:28" s="24" customFormat="1" ht="30" hidden="1" customHeight="1" outlineLevel="1" x14ac:dyDescent="0.4">
      <c r="A662" s="26"/>
      <c r="B662" s="17" t="s">
        <v>327</v>
      </c>
      <c r="C662" s="81" t="s">
        <v>16</v>
      </c>
      <c r="D662" s="67">
        <v>0.124</v>
      </c>
      <c r="E662" s="67"/>
      <c r="F662" s="25"/>
    </row>
    <row r="663" spans="1:28" ht="36" customHeight="1" collapsed="1" x14ac:dyDescent="0.35">
      <c r="A663" s="63">
        <f>A655+1</f>
        <v>288</v>
      </c>
      <c r="B663" s="19" t="s">
        <v>34</v>
      </c>
      <c r="C663" s="15" t="s">
        <v>19</v>
      </c>
      <c r="D663" s="64">
        <f>((0.219*3.66*3.14)+(0.2*0.2*11)+6.8)*1</f>
        <v>9.7568356000000005</v>
      </c>
      <c r="E663" s="15"/>
      <c r="F663" s="47"/>
    </row>
    <row r="664" spans="1:28" ht="36" customHeight="1" x14ac:dyDescent="0.35">
      <c r="A664" s="63">
        <f>A663+1</f>
        <v>289</v>
      </c>
      <c r="B664" s="19" t="s">
        <v>51</v>
      </c>
      <c r="C664" s="15" t="s">
        <v>19</v>
      </c>
      <c r="D664" s="64">
        <f>((0.219*3.66*3.14)+(0.2*0.2*11)+6.8)*1</f>
        <v>9.7568356000000005</v>
      </c>
      <c r="E664" s="15"/>
      <c r="F664" s="47"/>
    </row>
    <row r="665" spans="1:28" ht="36" customHeight="1" x14ac:dyDescent="0.35">
      <c r="A665" s="63">
        <f>A664+1</f>
        <v>290</v>
      </c>
      <c r="B665" s="19" t="s">
        <v>52</v>
      </c>
      <c r="C665" s="15" t="s">
        <v>19</v>
      </c>
      <c r="D665" s="64">
        <f>((0.219*3.66*3.14)+(0.2*0.2*11)+6.8)*1</f>
        <v>9.7568356000000005</v>
      </c>
      <c r="E665" s="15"/>
      <c r="F665" s="47"/>
    </row>
    <row r="666" spans="1:28" s="24" customFormat="1" ht="30" customHeight="1" x14ac:dyDescent="0.4">
      <c r="A666" s="63">
        <f>A665+1</f>
        <v>291</v>
      </c>
      <c r="B666" s="19" t="s">
        <v>89</v>
      </c>
      <c r="C666" s="20" t="s">
        <v>19</v>
      </c>
      <c r="D666" s="64">
        <f>((0.219*3.66*3.14)+(0.2*0.2*11)+6.8)*1</f>
        <v>9.7568356000000005</v>
      </c>
      <c r="E666" s="77"/>
      <c r="F666" s="25"/>
    </row>
    <row r="667" spans="1:28" s="24" customFormat="1" ht="30" hidden="1" customHeight="1" outlineLevel="1" x14ac:dyDescent="0.4">
      <c r="A667" s="26"/>
      <c r="B667" s="17" t="s">
        <v>88</v>
      </c>
      <c r="C667" s="81" t="s">
        <v>25</v>
      </c>
      <c r="D667" s="82">
        <f>9.8*0.36*2</f>
        <v>7.056</v>
      </c>
      <c r="E667" s="81">
        <v>7.0000000000000001E-3</v>
      </c>
      <c r="F667" s="25"/>
    </row>
    <row r="668" spans="1:28" s="46" customFormat="1" ht="21" customHeight="1" collapsed="1" x14ac:dyDescent="0.35">
      <c r="A668" s="115" t="s">
        <v>319</v>
      </c>
      <c r="B668" s="115"/>
      <c r="C668" s="115"/>
      <c r="D668" s="115"/>
      <c r="E668" s="115"/>
      <c r="F668" s="41"/>
      <c r="G668" s="42"/>
      <c r="H668" s="43"/>
      <c r="I668" s="44"/>
      <c r="J668" s="44"/>
      <c r="K668" s="45"/>
      <c r="L668" s="45"/>
      <c r="M668" s="45"/>
      <c r="N668" s="43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  <c r="AA668" s="45"/>
      <c r="AB668" s="45"/>
    </row>
    <row r="669" spans="1:28" s="46" customFormat="1" ht="21" customHeight="1" x14ac:dyDescent="0.35">
      <c r="A669" s="116" t="s">
        <v>333</v>
      </c>
      <c r="B669" s="116"/>
      <c r="C669" s="116"/>
      <c r="D669" s="116"/>
      <c r="E669" s="116"/>
      <c r="F669" s="41"/>
      <c r="G669" s="42"/>
      <c r="H669" s="43"/>
      <c r="I669" s="44"/>
      <c r="J669" s="44"/>
      <c r="K669" s="45"/>
      <c r="L669" s="45"/>
      <c r="M669" s="45"/>
      <c r="N669" s="43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  <c r="AA669" s="45"/>
      <c r="AB669" s="45"/>
    </row>
    <row r="670" spans="1:28" ht="30" customHeight="1" x14ac:dyDescent="0.35">
      <c r="A670" s="63">
        <f>A666+1</f>
        <v>292</v>
      </c>
      <c r="B670" s="19" t="s">
        <v>300</v>
      </c>
      <c r="C670" s="66" t="s">
        <v>291</v>
      </c>
      <c r="D670" s="71" t="s">
        <v>334</v>
      </c>
      <c r="E670" s="15"/>
      <c r="F670" s="47"/>
    </row>
    <row r="671" spans="1:28" s="24" customFormat="1" ht="30" customHeight="1" x14ac:dyDescent="0.4">
      <c r="A671" s="63">
        <f>A670+1</f>
        <v>293</v>
      </c>
      <c r="B671" s="74" t="s">
        <v>292</v>
      </c>
      <c r="C671" s="75" t="s">
        <v>16</v>
      </c>
      <c r="D671" s="86">
        <v>0.71499999999999997</v>
      </c>
      <c r="E671" s="77"/>
      <c r="F671" s="25"/>
    </row>
    <row r="672" spans="1:28" ht="30" hidden="1" customHeight="1" outlineLevel="1" x14ac:dyDescent="0.35">
      <c r="A672" s="16"/>
      <c r="B672" s="17" t="s">
        <v>82</v>
      </c>
      <c r="C672" s="81" t="s">
        <v>16</v>
      </c>
      <c r="D672" s="67">
        <f>3.6*8/1000*11</f>
        <v>0.31679999999999997</v>
      </c>
      <c r="E672" s="18"/>
      <c r="F672" s="47"/>
    </row>
    <row r="673" spans="1:28" ht="30" hidden="1" customHeight="1" outlineLevel="1" x14ac:dyDescent="0.35">
      <c r="A673" s="16"/>
      <c r="B673" s="17" t="s">
        <v>163</v>
      </c>
      <c r="C673" s="81" t="s">
        <v>16</v>
      </c>
      <c r="D673" s="67">
        <f>((9*0.62)+(20*0.13))/1000*11</f>
        <v>8.9980000000000004E-2</v>
      </c>
      <c r="E673" s="18"/>
      <c r="F673" s="47"/>
    </row>
    <row r="674" spans="1:28" s="24" customFormat="1" ht="30" hidden="1" customHeight="1" outlineLevel="1" x14ac:dyDescent="0.4">
      <c r="A674" s="26"/>
      <c r="B674" s="17" t="s">
        <v>306</v>
      </c>
      <c r="C674" s="81" t="s">
        <v>16</v>
      </c>
      <c r="D674" s="67">
        <f>((19.1+8.88)*11)/1000</f>
        <v>0.30778000000000005</v>
      </c>
      <c r="E674" s="67"/>
      <c r="F674" s="25"/>
    </row>
    <row r="675" spans="1:28" ht="31" customHeight="1" collapsed="1" x14ac:dyDescent="0.35">
      <c r="A675" s="63">
        <f>A671+1</f>
        <v>294</v>
      </c>
      <c r="B675" s="14" t="s">
        <v>303</v>
      </c>
      <c r="C675" s="15" t="s">
        <v>17</v>
      </c>
      <c r="D675" s="77">
        <v>12.76</v>
      </c>
      <c r="E675" s="15"/>
      <c r="F675" s="47"/>
    </row>
    <row r="676" spans="1:28" ht="31" hidden="1" customHeight="1" outlineLevel="1" x14ac:dyDescent="0.35">
      <c r="A676" s="16"/>
      <c r="B676" s="17" t="s">
        <v>83</v>
      </c>
      <c r="C676" s="81" t="s">
        <v>17</v>
      </c>
      <c r="D676" s="102">
        <v>12.76</v>
      </c>
      <c r="E676" s="81"/>
      <c r="F676" s="47"/>
    </row>
    <row r="677" spans="1:28" s="24" customFormat="1" ht="30" customHeight="1" collapsed="1" x14ac:dyDescent="0.4">
      <c r="A677" s="63">
        <f>A675+1</f>
        <v>295</v>
      </c>
      <c r="B677" s="19" t="s">
        <v>307</v>
      </c>
      <c r="C677" s="20" t="s">
        <v>16</v>
      </c>
      <c r="D677" s="84">
        <v>0.19</v>
      </c>
      <c r="E677" s="77"/>
      <c r="F677" s="25"/>
    </row>
    <row r="678" spans="1:28" s="24" customFormat="1" ht="30" hidden="1" customHeight="1" outlineLevel="1" x14ac:dyDescent="0.4">
      <c r="A678" s="26"/>
      <c r="B678" s="17" t="s">
        <v>304</v>
      </c>
      <c r="C678" s="81" t="s">
        <v>18</v>
      </c>
      <c r="D678" s="83">
        <f>11*6</f>
        <v>66</v>
      </c>
      <c r="E678" s="67">
        <f>66*2.31/1000</f>
        <v>0.15246000000000001</v>
      </c>
      <c r="F678" s="25"/>
    </row>
    <row r="679" spans="1:28" s="24" customFormat="1" ht="30" hidden="1" customHeight="1" outlineLevel="1" x14ac:dyDescent="0.4">
      <c r="A679" s="26"/>
      <c r="B679" s="17" t="s">
        <v>305</v>
      </c>
      <c r="C679" s="81" t="s">
        <v>16</v>
      </c>
      <c r="D679" s="67">
        <f>3.41*11/1000</f>
        <v>3.7510000000000002E-2</v>
      </c>
      <c r="E679" s="67"/>
      <c r="F679" s="25"/>
    </row>
    <row r="680" spans="1:28" ht="36" customHeight="1" collapsed="1" x14ac:dyDescent="0.35">
      <c r="A680" s="63">
        <f>A677+1</f>
        <v>296</v>
      </c>
      <c r="B680" s="19" t="s">
        <v>110</v>
      </c>
      <c r="C680" s="15" t="s">
        <v>17</v>
      </c>
      <c r="D680" s="23">
        <v>5.5E-2</v>
      </c>
      <c r="E680" s="15"/>
      <c r="F680" s="47"/>
    </row>
    <row r="681" spans="1:28" s="24" customFormat="1" ht="30" customHeight="1" x14ac:dyDescent="0.4">
      <c r="A681" s="63">
        <f>A680+1</f>
        <v>297</v>
      </c>
      <c r="B681" s="19" t="s">
        <v>108</v>
      </c>
      <c r="C681" s="20" t="s">
        <v>107</v>
      </c>
      <c r="D681" s="77" t="s">
        <v>335</v>
      </c>
      <c r="E681" s="77"/>
      <c r="F681" s="25"/>
    </row>
    <row r="682" spans="1:28" s="46" customFormat="1" ht="21" customHeight="1" x14ac:dyDescent="0.35">
      <c r="A682" s="115" t="s">
        <v>320</v>
      </c>
      <c r="B682" s="115"/>
      <c r="C682" s="115"/>
      <c r="D682" s="115"/>
      <c r="E682" s="115"/>
      <c r="F682" s="41"/>
      <c r="G682" s="42"/>
      <c r="H682" s="43"/>
      <c r="I682" s="44"/>
      <c r="J682" s="44"/>
      <c r="K682" s="45"/>
      <c r="L682" s="45"/>
      <c r="M682" s="45"/>
      <c r="N682" s="43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  <c r="AA682" s="45"/>
      <c r="AB682" s="45"/>
    </row>
    <row r="683" spans="1:28" s="24" customFormat="1" ht="30" customHeight="1" x14ac:dyDescent="0.4">
      <c r="A683" s="63">
        <f>A681+1</f>
        <v>298</v>
      </c>
      <c r="B683" s="19" t="s">
        <v>328</v>
      </c>
      <c r="C683" s="20" t="s">
        <v>21</v>
      </c>
      <c r="D683" s="84" t="s">
        <v>457</v>
      </c>
      <c r="E683" s="77"/>
      <c r="F683" s="25"/>
    </row>
    <row r="684" spans="1:28" s="24" customFormat="1" ht="30" hidden="1" customHeight="1" outlineLevel="1" x14ac:dyDescent="0.4">
      <c r="A684" s="26"/>
      <c r="B684" s="17" t="s">
        <v>321</v>
      </c>
      <c r="C684" s="81" t="s">
        <v>16</v>
      </c>
      <c r="D684" s="67">
        <v>1.7210000000000001</v>
      </c>
      <c r="E684" s="67"/>
      <c r="F684" s="25"/>
    </row>
    <row r="685" spans="1:28" s="24" customFormat="1" ht="30" hidden="1" customHeight="1" outlineLevel="1" x14ac:dyDescent="0.4">
      <c r="A685" s="26"/>
      <c r="B685" s="17" t="s">
        <v>322</v>
      </c>
      <c r="C685" s="81" t="s">
        <v>16</v>
      </c>
      <c r="D685" s="67">
        <v>0.115</v>
      </c>
      <c r="E685" s="67"/>
      <c r="F685" s="25"/>
    </row>
    <row r="686" spans="1:28" s="24" customFormat="1" ht="30" hidden="1" customHeight="1" outlineLevel="1" x14ac:dyDescent="0.4">
      <c r="A686" s="26"/>
      <c r="B686" s="17" t="s">
        <v>323</v>
      </c>
      <c r="C686" s="81" t="s">
        <v>16</v>
      </c>
      <c r="D686" s="67">
        <v>0.13800000000000001</v>
      </c>
      <c r="E686" s="67"/>
      <c r="F686" s="25"/>
    </row>
    <row r="687" spans="1:28" s="24" customFormat="1" ht="30" hidden="1" customHeight="1" outlineLevel="1" x14ac:dyDescent="0.4">
      <c r="A687" s="26"/>
      <c r="B687" s="17" t="s">
        <v>336</v>
      </c>
      <c r="C687" s="81" t="s">
        <v>16</v>
      </c>
      <c r="D687" s="67">
        <v>0.84799999999999998</v>
      </c>
      <c r="E687" s="67"/>
      <c r="F687" s="25"/>
    </row>
    <row r="688" spans="1:28" s="24" customFormat="1" ht="30" hidden="1" customHeight="1" outlineLevel="1" x14ac:dyDescent="0.4">
      <c r="A688" s="26"/>
      <c r="B688" s="17" t="s">
        <v>324</v>
      </c>
      <c r="C688" s="81" t="s">
        <v>16</v>
      </c>
      <c r="D688" s="67">
        <v>0.155</v>
      </c>
      <c r="E688" s="67"/>
      <c r="F688" s="25"/>
    </row>
    <row r="689" spans="1:28" s="24" customFormat="1" ht="30" hidden="1" customHeight="1" outlineLevel="1" x14ac:dyDescent="0.4">
      <c r="A689" s="26"/>
      <c r="B689" s="17" t="s">
        <v>325</v>
      </c>
      <c r="C689" s="81" t="s">
        <v>16</v>
      </c>
      <c r="D689" s="67">
        <v>0.23400000000000001</v>
      </c>
      <c r="E689" s="67"/>
      <c r="F689" s="25"/>
    </row>
    <row r="690" spans="1:28" ht="36" customHeight="1" collapsed="1" x14ac:dyDescent="0.35">
      <c r="A690" s="63">
        <f>A683+1</f>
        <v>299</v>
      </c>
      <c r="B690" s="19" t="s">
        <v>34</v>
      </c>
      <c r="C690" s="15" t="s">
        <v>19</v>
      </c>
      <c r="D690" s="64">
        <f>((0.219*3.66*3.14)+(0.2*0.2*4)+4.2)*11</f>
        <v>75.645191600000004</v>
      </c>
      <c r="E690" s="15"/>
      <c r="F690" s="47"/>
    </row>
    <row r="691" spans="1:28" ht="36" customHeight="1" x14ac:dyDescent="0.35">
      <c r="A691" s="63">
        <f>A690+1</f>
        <v>300</v>
      </c>
      <c r="B691" s="19" t="s">
        <v>51</v>
      </c>
      <c r="C691" s="15" t="s">
        <v>19</v>
      </c>
      <c r="D691" s="64">
        <f>((0.219*3.66*3.14)+(0.2*0.2*4)+4.2)*11</f>
        <v>75.645191600000004</v>
      </c>
      <c r="E691" s="15"/>
      <c r="F691" s="47"/>
    </row>
    <row r="692" spans="1:28" ht="36" customHeight="1" x14ac:dyDescent="0.35">
      <c r="A692" s="63">
        <f>A691+1</f>
        <v>301</v>
      </c>
      <c r="B692" s="19" t="s">
        <v>52</v>
      </c>
      <c r="C692" s="15" t="s">
        <v>19</v>
      </c>
      <c r="D692" s="64">
        <f>((0.219*3.66*3.14)+(0.2*0.2*4)+4.2)*11</f>
        <v>75.645191600000004</v>
      </c>
      <c r="E692" s="15"/>
      <c r="F692" s="47"/>
    </row>
    <row r="693" spans="1:28" s="24" customFormat="1" ht="30" customHeight="1" x14ac:dyDescent="0.4">
      <c r="A693" s="63">
        <f>A692+1</f>
        <v>302</v>
      </c>
      <c r="B693" s="19" t="s">
        <v>89</v>
      </c>
      <c r="C693" s="20" t="s">
        <v>19</v>
      </c>
      <c r="D693" s="64">
        <f>((0.219*3.66*3.14)+(0.2*0.2*4)+4.2)*11</f>
        <v>75.645191600000004</v>
      </c>
      <c r="E693" s="77"/>
      <c r="F693" s="25"/>
    </row>
    <row r="694" spans="1:28" s="24" customFormat="1" ht="30" hidden="1" customHeight="1" outlineLevel="1" x14ac:dyDescent="0.4">
      <c r="A694" s="26"/>
      <c r="B694" s="17" t="s">
        <v>88</v>
      </c>
      <c r="C694" s="81" t="s">
        <v>25</v>
      </c>
      <c r="D694" s="82">
        <f>75.6*0.36*2</f>
        <v>54.431999999999995</v>
      </c>
      <c r="E694" s="81">
        <v>5.3999999999999999E-2</v>
      </c>
      <c r="F694" s="25"/>
    </row>
    <row r="695" spans="1:28" s="46" customFormat="1" ht="21" customHeight="1" collapsed="1" x14ac:dyDescent="0.35">
      <c r="A695" s="115" t="s">
        <v>319</v>
      </c>
      <c r="B695" s="115"/>
      <c r="C695" s="115"/>
      <c r="D695" s="115"/>
      <c r="E695" s="115"/>
      <c r="F695" s="41"/>
      <c r="G695" s="42"/>
      <c r="H695" s="43"/>
      <c r="I695" s="44"/>
      <c r="J695" s="44"/>
      <c r="K695" s="45"/>
      <c r="L695" s="45"/>
      <c r="M695" s="45"/>
      <c r="N695" s="43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  <c r="AA695" s="45"/>
      <c r="AB695" s="45"/>
    </row>
    <row r="696" spans="1:28" s="46" customFormat="1" ht="21" customHeight="1" x14ac:dyDescent="0.35">
      <c r="A696" s="116" t="s">
        <v>337</v>
      </c>
      <c r="B696" s="116"/>
      <c r="C696" s="116"/>
      <c r="D696" s="116"/>
      <c r="E696" s="116"/>
      <c r="F696" s="41"/>
      <c r="G696" s="42"/>
      <c r="H696" s="43"/>
      <c r="I696" s="44"/>
      <c r="J696" s="44"/>
      <c r="K696" s="45"/>
      <c r="L696" s="45"/>
      <c r="M696" s="45"/>
      <c r="N696" s="43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  <c r="AA696" s="45"/>
      <c r="AB696" s="45"/>
    </row>
    <row r="697" spans="1:28" ht="30" customHeight="1" x14ac:dyDescent="0.35">
      <c r="A697" s="63">
        <f>A693+1</f>
        <v>303</v>
      </c>
      <c r="B697" s="19" t="s">
        <v>300</v>
      </c>
      <c r="C697" s="66" t="s">
        <v>291</v>
      </c>
      <c r="D697" s="71" t="s">
        <v>338</v>
      </c>
      <c r="E697" s="15"/>
      <c r="F697" s="47"/>
    </row>
    <row r="698" spans="1:28" s="24" customFormat="1" ht="30" customHeight="1" x14ac:dyDescent="0.4">
      <c r="A698" s="63">
        <f>A697+1</f>
        <v>304</v>
      </c>
      <c r="B698" s="74" t="s">
        <v>292</v>
      </c>
      <c r="C698" s="75" t="s">
        <v>16</v>
      </c>
      <c r="D698" s="86">
        <v>0.32400000000000001</v>
      </c>
      <c r="E698" s="77"/>
      <c r="F698" s="25"/>
    </row>
    <row r="699" spans="1:28" ht="30" hidden="1" customHeight="1" outlineLevel="1" x14ac:dyDescent="0.35">
      <c r="A699" s="16"/>
      <c r="B699" s="17" t="s">
        <v>82</v>
      </c>
      <c r="C699" s="81" t="s">
        <v>16</v>
      </c>
      <c r="D699" s="67">
        <f>3.6*8/1000*5</f>
        <v>0.14399999999999999</v>
      </c>
      <c r="E699" s="18"/>
      <c r="F699" s="47"/>
    </row>
    <row r="700" spans="1:28" ht="30" hidden="1" customHeight="1" outlineLevel="1" x14ac:dyDescent="0.35">
      <c r="A700" s="16"/>
      <c r="B700" s="17" t="s">
        <v>163</v>
      </c>
      <c r="C700" s="81" t="s">
        <v>16</v>
      </c>
      <c r="D700" s="67">
        <f>((9*0.62)+(20*0.13))/1000*5</f>
        <v>4.0899999999999999E-2</v>
      </c>
      <c r="E700" s="18"/>
      <c r="F700" s="47"/>
    </row>
    <row r="701" spans="1:28" s="24" customFormat="1" ht="30" hidden="1" customHeight="1" outlineLevel="1" x14ac:dyDescent="0.4">
      <c r="A701" s="26"/>
      <c r="B701" s="17" t="s">
        <v>306</v>
      </c>
      <c r="C701" s="81" t="s">
        <v>16</v>
      </c>
      <c r="D701" s="67">
        <f>((19.1+8.88)*5)/1000</f>
        <v>0.13990000000000002</v>
      </c>
      <c r="E701" s="67"/>
      <c r="F701" s="25"/>
    </row>
    <row r="702" spans="1:28" ht="31" customHeight="1" collapsed="1" x14ac:dyDescent="0.35">
      <c r="A702" s="63">
        <f>A698+1</f>
        <v>305</v>
      </c>
      <c r="B702" s="14" t="s">
        <v>303</v>
      </c>
      <c r="C702" s="15" t="s">
        <v>17</v>
      </c>
      <c r="D702" s="77">
        <v>5.8</v>
      </c>
      <c r="E702" s="15"/>
      <c r="F702" s="47"/>
    </row>
    <row r="703" spans="1:28" ht="31" hidden="1" customHeight="1" outlineLevel="1" x14ac:dyDescent="0.35">
      <c r="A703" s="16"/>
      <c r="B703" s="17" t="s">
        <v>83</v>
      </c>
      <c r="C703" s="81" t="s">
        <v>17</v>
      </c>
      <c r="D703" s="82">
        <v>5.8</v>
      </c>
      <c r="E703" s="81"/>
      <c r="F703" s="47"/>
    </row>
    <row r="704" spans="1:28" s="24" customFormat="1" ht="30" customHeight="1" collapsed="1" x14ac:dyDescent="0.4">
      <c r="A704" s="63">
        <f>A702+1</f>
        <v>306</v>
      </c>
      <c r="B704" s="19" t="s">
        <v>307</v>
      </c>
      <c r="C704" s="20" t="s">
        <v>16</v>
      </c>
      <c r="D704" s="84">
        <v>2.9000000000000001E-2</v>
      </c>
      <c r="E704" s="77"/>
      <c r="F704" s="25"/>
    </row>
    <row r="705" spans="1:28" s="24" customFormat="1" ht="30" hidden="1" customHeight="1" outlineLevel="1" x14ac:dyDescent="0.4">
      <c r="A705" s="26"/>
      <c r="B705" s="17" t="s">
        <v>304</v>
      </c>
      <c r="C705" s="81" t="s">
        <v>18</v>
      </c>
      <c r="D705" s="83">
        <v>30</v>
      </c>
      <c r="E705" s="67">
        <f>5*2.31/1000</f>
        <v>1.1550000000000001E-2</v>
      </c>
      <c r="F705" s="25"/>
    </row>
    <row r="706" spans="1:28" s="24" customFormat="1" ht="30" hidden="1" customHeight="1" outlineLevel="1" x14ac:dyDescent="0.4">
      <c r="A706" s="26"/>
      <c r="B706" s="17" t="s">
        <v>305</v>
      </c>
      <c r="C706" s="81" t="s">
        <v>16</v>
      </c>
      <c r="D706" s="67">
        <f>3.41*5/1000</f>
        <v>1.7049999999999999E-2</v>
      </c>
      <c r="E706" s="67"/>
      <c r="F706" s="25"/>
    </row>
    <row r="707" spans="1:28" ht="36" customHeight="1" collapsed="1" x14ac:dyDescent="0.35">
      <c r="A707" s="63">
        <f>A704+1</f>
        <v>307</v>
      </c>
      <c r="B707" s="19" t="s">
        <v>110</v>
      </c>
      <c r="C707" s="15" t="s">
        <v>17</v>
      </c>
      <c r="D707" s="23">
        <v>2.5000000000000001E-2</v>
      </c>
      <c r="E707" s="15"/>
      <c r="F707" s="47"/>
    </row>
    <row r="708" spans="1:28" s="24" customFormat="1" ht="30" customHeight="1" x14ac:dyDescent="0.4">
      <c r="A708" s="63">
        <f>A707+1</f>
        <v>308</v>
      </c>
      <c r="B708" s="19" t="s">
        <v>108</v>
      </c>
      <c r="C708" s="20" t="s">
        <v>107</v>
      </c>
      <c r="D708" s="77" t="s">
        <v>339</v>
      </c>
      <c r="E708" s="77"/>
      <c r="F708" s="25"/>
    </row>
    <row r="709" spans="1:28" s="46" customFormat="1" ht="21" customHeight="1" x14ac:dyDescent="0.35">
      <c r="A709" s="115" t="s">
        <v>320</v>
      </c>
      <c r="B709" s="115"/>
      <c r="C709" s="115"/>
      <c r="D709" s="115"/>
      <c r="E709" s="115"/>
      <c r="F709" s="41"/>
      <c r="G709" s="42"/>
      <c r="H709" s="43"/>
      <c r="I709" s="44"/>
      <c r="J709" s="44"/>
      <c r="K709" s="45"/>
      <c r="L709" s="45"/>
      <c r="M709" s="45"/>
      <c r="N709" s="43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  <c r="AA709" s="45"/>
      <c r="AB709" s="45"/>
    </row>
    <row r="710" spans="1:28" s="24" customFormat="1" ht="30" customHeight="1" x14ac:dyDescent="0.4">
      <c r="A710" s="63">
        <f>A708+1</f>
        <v>309</v>
      </c>
      <c r="B710" s="19" t="s">
        <v>328</v>
      </c>
      <c r="C710" s="20" t="s">
        <v>21</v>
      </c>
      <c r="D710" s="84" t="s">
        <v>461</v>
      </c>
      <c r="E710" s="77"/>
      <c r="F710" s="25"/>
    </row>
    <row r="711" spans="1:28" s="24" customFormat="1" ht="30" hidden="1" customHeight="1" outlineLevel="1" x14ac:dyDescent="0.4">
      <c r="A711" s="26"/>
      <c r="B711" s="17" t="s">
        <v>321</v>
      </c>
      <c r="C711" s="81" t="s">
        <v>16</v>
      </c>
      <c r="D711" s="67">
        <v>0.78200000000000003</v>
      </c>
      <c r="E711" s="67"/>
      <c r="F711" s="25"/>
    </row>
    <row r="712" spans="1:28" s="24" customFormat="1" ht="30" hidden="1" customHeight="1" outlineLevel="1" x14ac:dyDescent="0.4">
      <c r="A712" s="26"/>
      <c r="B712" s="17" t="s">
        <v>322</v>
      </c>
      <c r="C712" s="81" t="s">
        <v>16</v>
      </c>
      <c r="D712" s="67">
        <v>0.17399999999999999</v>
      </c>
      <c r="E712" s="67"/>
      <c r="F712" s="25"/>
    </row>
    <row r="713" spans="1:28" s="24" customFormat="1" ht="30" hidden="1" customHeight="1" outlineLevel="1" x14ac:dyDescent="0.4">
      <c r="A713" s="26"/>
      <c r="B713" s="17" t="s">
        <v>323</v>
      </c>
      <c r="C713" s="81" t="s">
        <v>16</v>
      </c>
      <c r="D713" s="67">
        <v>0.125</v>
      </c>
      <c r="E713" s="67"/>
      <c r="F713" s="25"/>
    </row>
    <row r="714" spans="1:28" s="24" customFormat="1" ht="30" hidden="1" customHeight="1" outlineLevel="1" x14ac:dyDescent="0.4">
      <c r="A714" s="26"/>
      <c r="B714" s="17" t="s">
        <v>324</v>
      </c>
      <c r="C714" s="81" t="s">
        <v>16</v>
      </c>
      <c r="D714" s="67">
        <v>1.7999999999999999E-2</v>
      </c>
      <c r="E714" s="67"/>
      <c r="F714" s="25"/>
    </row>
    <row r="715" spans="1:28" s="24" customFormat="1" ht="30" hidden="1" customHeight="1" outlineLevel="1" x14ac:dyDescent="0.4">
      <c r="A715" s="26"/>
      <c r="B715" s="17" t="s">
        <v>325</v>
      </c>
      <c r="C715" s="81" t="s">
        <v>16</v>
      </c>
      <c r="D715" s="67">
        <v>0.16800000000000001</v>
      </c>
      <c r="E715" s="67"/>
      <c r="F715" s="25"/>
    </row>
    <row r="716" spans="1:28" s="24" customFormat="1" ht="30" hidden="1" customHeight="1" outlineLevel="1" x14ac:dyDescent="0.4">
      <c r="A716" s="26"/>
      <c r="B716" s="17" t="s">
        <v>326</v>
      </c>
      <c r="C716" s="81" t="s">
        <v>16</v>
      </c>
      <c r="D716" s="67">
        <v>1.7999999999999999E-2</v>
      </c>
      <c r="E716" s="67"/>
      <c r="F716" s="25"/>
    </row>
    <row r="717" spans="1:28" s="24" customFormat="1" ht="30" hidden="1" customHeight="1" outlineLevel="1" x14ac:dyDescent="0.4">
      <c r="A717" s="26"/>
      <c r="B717" s="17" t="s">
        <v>327</v>
      </c>
      <c r="C717" s="81" t="s">
        <v>16</v>
      </c>
      <c r="D717" s="67">
        <v>0.311</v>
      </c>
      <c r="E717" s="67"/>
      <c r="F717" s="25"/>
    </row>
    <row r="718" spans="1:28" ht="36" customHeight="1" collapsed="1" x14ac:dyDescent="0.35">
      <c r="A718" s="63">
        <f>A710+1</f>
        <v>310</v>
      </c>
      <c r="B718" s="19" t="s">
        <v>34</v>
      </c>
      <c r="C718" s="15" t="s">
        <v>19</v>
      </c>
      <c r="D718" s="64">
        <f>((0.219*3.66*3.14)+(0.2*0.2*4)+6.4)*5</f>
        <v>45.384178000000006</v>
      </c>
      <c r="E718" s="15"/>
      <c r="F718" s="47"/>
    </row>
    <row r="719" spans="1:28" ht="36" customHeight="1" x14ac:dyDescent="0.35">
      <c r="A719" s="63">
        <f>A718+1</f>
        <v>311</v>
      </c>
      <c r="B719" s="19" t="s">
        <v>51</v>
      </c>
      <c r="C719" s="15" t="s">
        <v>19</v>
      </c>
      <c r="D719" s="64">
        <f>((0.219*3.66*3.14)+(0.2*0.2*4)+6.4)*5</f>
        <v>45.384178000000006</v>
      </c>
      <c r="E719" s="15"/>
      <c r="F719" s="47"/>
    </row>
    <row r="720" spans="1:28" ht="36" customHeight="1" x14ac:dyDescent="0.35">
      <c r="A720" s="63">
        <f>A719+1</f>
        <v>312</v>
      </c>
      <c r="B720" s="19" t="s">
        <v>52</v>
      </c>
      <c r="C720" s="15" t="s">
        <v>19</v>
      </c>
      <c r="D720" s="64">
        <f>((0.219*3.66*3.14)+(0.2*0.2*4)+6.4)*5</f>
        <v>45.384178000000006</v>
      </c>
      <c r="E720" s="15"/>
      <c r="F720" s="47"/>
    </row>
    <row r="721" spans="1:28" s="24" customFormat="1" ht="30" customHeight="1" x14ac:dyDescent="0.4">
      <c r="A721" s="63">
        <f>A720+1</f>
        <v>313</v>
      </c>
      <c r="B721" s="19" t="s">
        <v>89</v>
      </c>
      <c r="C721" s="20" t="s">
        <v>19</v>
      </c>
      <c r="D721" s="64">
        <f>((0.219*3.66*3.14)+(0.2*0.2*4)+6.4)*5</f>
        <v>45.384178000000006</v>
      </c>
      <c r="E721" s="77"/>
      <c r="F721" s="25"/>
    </row>
    <row r="722" spans="1:28" s="24" customFormat="1" ht="30" hidden="1" customHeight="1" outlineLevel="1" x14ac:dyDescent="0.4">
      <c r="A722" s="26"/>
      <c r="B722" s="17" t="s">
        <v>88</v>
      </c>
      <c r="C722" s="81" t="s">
        <v>25</v>
      </c>
      <c r="D722" s="82">
        <f>45.4*0.36*2</f>
        <v>32.687999999999995</v>
      </c>
      <c r="E722" s="81">
        <v>3.3000000000000002E-2</v>
      </c>
      <c r="F722" s="25"/>
    </row>
    <row r="723" spans="1:28" s="46" customFormat="1" ht="21" customHeight="1" collapsed="1" x14ac:dyDescent="0.35">
      <c r="A723" s="115" t="s">
        <v>319</v>
      </c>
      <c r="B723" s="115"/>
      <c r="C723" s="115"/>
      <c r="D723" s="115"/>
      <c r="E723" s="115"/>
      <c r="F723" s="41"/>
      <c r="G723" s="42"/>
      <c r="H723" s="43"/>
      <c r="I723" s="44"/>
      <c r="J723" s="44"/>
      <c r="K723" s="45"/>
      <c r="L723" s="45"/>
      <c r="M723" s="45"/>
      <c r="N723" s="43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  <c r="AA723" s="45"/>
      <c r="AB723" s="45"/>
    </row>
    <row r="724" spans="1:28" s="46" customFormat="1" ht="21" customHeight="1" x14ac:dyDescent="0.35">
      <c r="A724" s="116" t="s">
        <v>341</v>
      </c>
      <c r="B724" s="116"/>
      <c r="C724" s="116"/>
      <c r="D724" s="116"/>
      <c r="E724" s="116"/>
      <c r="F724" s="41"/>
      <c r="G724" s="42"/>
      <c r="H724" s="43"/>
      <c r="I724" s="44"/>
      <c r="J724" s="44"/>
      <c r="K724" s="45"/>
      <c r="L724" s="45"/>
      <c r="M724" s="45"/>
      <c r="N724" s="43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  <c r="AA724" s="45"/>
      <c r="AB724" s="45"/>
    </row>
    <row r="725" spans="1:28" ht="30" customHeight="1" x14ac:dyDescent="0.35">
      <c r="A725" s="63">
        <f>A721+1</f>
        <v>314</v>
      </c>
      <c r="B725" s="19" t="s">
        <v>340</v>
      </c>
      <c r="C725" s="66" t="s">
        <v>291</v>
      </c>
      <c r="D725" s="71" t="s">
        <v>342</v>
      </c>
      <c r="E725" s="15"/>
      <c r="F725" s="47"/>
    </row>
    <row r="726" spans="1:28" ht="33" customHeight="1" x14ac:dyDescent="0.35">
      <c r="A726" s="63">
        <f>A725+1</f>
        <v>315</v>
      </c>
      <c r="B726" s="14" t="s">
        <v>81</v>
      </c>
      <c r="C726" s="15" t="s">
        <v>17</v>
      </c>
      <c r="D726" s="64">
        <v>1.6</v>
      </c>
      <c r="E726" s="15"/>
      <c r="F726" s="31"/>
    </row>
    <row r="727" spans="1:28" s="24" customFormat="1" ht="30" hidden="1" customHeight="1" outlineLevel="1" x14ac:dyDescent="0.4">
      <c r="A727" s="26"/>
      <c r="B727" s="17" t="s">
        <v>83</v>
      </c>
      <c r="C727" s="81" t="s">
        <v>17</v>
      </c>
      <c r="D727" s="18">
        <v>1.6</v>
      </c>
      <c r="E727" s="67"/>
      <c r="F727" s="25"/>
    </row>
    <row r="728" spans="1:28" s="46" customFormat="1" ht="36" customHeight="1" collapsed="1" x14ac:dyDescent="0.35">
      <c r="A728" s="63">
        <f>A726+1</f>
        <v>316</v>
      </c>
      <c r="B728" s="14" t="s">
        <v>238</v>
      </c>
      <c r="C728" s="15" t="s">
        <v>21</v>
      </c>
      <c r="D728" s="77" t="s">
        <v>462</v>
      </c>
      <c r="E728" s="14"/>
      <c r="F728" s="41"/>
      <c r="G728" s="42"/>
      <c r="H728" s="43"/>
      <c r="I728" s="44"/>
      <c r="J728" s="44"/>
      <c r="K728" s="45"/>
      <c r="L728" s="45"/>
      <c r="M728" s="45"/>
      <c r="N728" s="43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  <c r="AA728" s="45"/>
      <c r="AB728" s="45"/>
    </row>
    <row r="729" spans="1:28" s="24" customFormat="1" ht="30" hidden="1" customHeight="1" outlineLevel="1" x14ac:dyDescent="0.4">
      <c r="A729" s="26"/>
      <c r="B729" s="17" t="s">
        <v>476</v>
      </c>
      <c r="C729" s="81" t="s">
        <v>16</v>
      </c>
      <c r="D729" s="67">
        <f>0.298*1.012</f>
        <v>0.30157600000000001</v>
      </c>
      <c r="E729" s="67"/>
      <c r="F729" s="25"/>
    </row>
    <row r="730" spans="1:28" s="24" customFormat="1" ht="30" hidden="1" customHeight="1" outlineLevel="1" x14ac:dyDescent="0.4">
      <c r="A730" s="26"/>
      <c r="B730" s="17" t="s">
        <v>325</v>
      </c>
      <c r="C730" s="81" t="s">
        <v>16</v>
      </c>
      <c r="D730" s="67">
        <f>0.057*1.0121</f>
        <v>5.7689700000000003E-2</v>
      </c>
      <c r="E730" s="67"/>
      <c r="F730" s="25"/>
    </row>
    <row r="731" spans="1:28" s="24" customFormat="1" ht="30" hidden="1" customHeight="1" outlineLevel="1" x14ac:dyDescent="0.4">
      <c r="A731" s="26"/>
      <c r="B731" s="17" t="s">
        <v>47</v>
      </c>
      <c r="C731" s="81" t="s">
        <v>16</v>
      </c>
      <c r="D731" s="67">
        <f>0.006*1.012</f>
        <v>6.0720000000000001E-3</v>
      </c>
      <c r="E731" s="67"/>
      <c r="F731" s="25"/>
    </row>
    <row r="732" spans="1:28" s="24" customFormat="1" ht="30" customHeight="1" collapsed="1" x14ac:dyDescent="0.4">
      <c r="A732" s="63">
        <f>A728+1</f>
        <v>317</v>
      </c>
      <c r="B732" s="19" t="s">
        <v>242</v>
      </c>
      <c r="C732" s="15" t="s">
        <v>16</v>
      </c>
      <c r="D732" s="77">
        <v>0.36099999999999999</v>
      </c>
      <c r="E732" s="77"/>
      <c r="F732" s="25"/>
    </row>
    <row r="733" spans="1:28" ht="36" customHeight="1" x14ac:dyDescent="0.35">
      <c r="A733" s="63">
        <f>A732+1</f>
        <v>318</v>
      </c>
      <c r="B733" s="19" t="s">
        <v>34</v>
      </c>
      <c r="C733" s="15" t="s">
        <v>19</v>
      </c>
      <c r="D733" s="64">
        <f>((0.114*3.49*3.14)+(0.2*0.2*2))*6</f>
        <v>7.9756824000000019</v>
      </c>
      <c r="E733" s="15"/>
      <c r="F733" s="47"/>
    </row>
    <row r="734" spans="1:28" ht="36" customHeight="1" x14ac:dyDescent="0.35">
      <c r="A734" s="63">
        <f>A733+1</f>
        <v>319</v>
      </c>
      <c r="B734" s="19" t="s">
        <v>51</v>
      </c>
      <c r="C734" s="15" t="s">
        <v>19</v>
      </c>
      <c r="D734" s="64">
        <v>8</v>
      </c>
      <c r="E734" s="15"/>
      <c r="F734" s="47"/>
    </row>
    <row r="735" spans="1:28" ht="36" customHeight="1" x14ac:dyDescent="0.35">
      <c r="A735" s="63">
        <f>A734+1</f>
        <v>320</v>
      </c>
      <c r="B735" s="19" t="s">
        <v>52</v>
      </c>
      <c r="C735" s="15" t="s">
        <v>19</v>
      </c>
      <c r="D735" s="64">
        <v>8</v>
      </c>
      <c r="E735" s="15"/>
      <c r="F735" s="47"/>
    </row>
    <row r="736" spans="1:28" s="24" customFormat="1" ht="30" customHeight="1" x14ac:dyDescent="0.4">
      <c r="A736" s="63">
        <f>A735+1</f>
        <v>321</v>
      </c>
      <c r="B736" s="19" t="s">
        <v>89</v>
      </c>
      <c r="C736" s="20" t="s">
        <v>19</v>
      </c>
      <c r="D736" s="64">
        <v>8</v>
      </c>
      <c r="E736" s="77"/>
      <c r="F736" s="25"/>
    </row>
    <row r="737" spans="1:28" s="24" customFormat="1" ht="30" hidden="1" customHeight="1" outlineLevel="1" x14ac:dyDescent="0.4">
      <c r="A737" s="26"/>
      <c r="B737" s="17" t="s">
        <v>88</v>
      </c>
      <c r="C737" s="81" t="s">
        <v>25</v>
      </c>
      <c r="D737" s="82">
        <f>8*0.36*2</f>
        <v>5.76</v>
      </c>
      <c r="E737" s="81">
        <v>6.0000000000000001E-3</v>
      </c>
      <c r="F737" s="25"/>
    </row>
    <row r="738" spans="1:28" s="46" customFormat="1" ht="21" customHeight="1" collapsed="1" x14ac:dyDescent="0.35">
      <c r="A738" s="115" t="s">
        <v>319</v>
      </c>
      <c r="B738" s="115"/>
      <c r="C738" s="115"/>
      <c r="D738" s="115"/>
      <c r="E738" s="115"/>
      <c r="F738" s="41"/>
      <c r="G738" s="42"/>
      <c r="H738" s="43"/>
      <c r="I738" s="44"/>
      <c r="J738" s="44"/>
      <c r="K738" s="45"/>
      <c r="L738" s="45"/>
      <c r="M738" s="45"/>
      <c r="N738" s="43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  <c r="AA738" s="45"/>
      <c r="AB738" s="45"/>
    </row>
    <row r="739" spans="1:28" s="46" customFormat="1" ht="21" customHeight="1" x14ac:dyDescent="0.35">
      <c r="A739" s="116" t="s">
        <v>344</v>
      </c>
      <c r="B739" s="116"/>
      <c r="C739" s="116"/>
      <c r="D739" s="116"/>
      <c r="E739" s="116"/>
      <c r="F739" s="41"/>
      <c r="G739" s="42"/>
      <c r="H739" s="43"/>
      <c r="I739" s="44"/>
      <c r="J739" s="44"/>
      <c r="K739" s="45"/>
      <c r="L739" s="45"/>
      <c r="M739" s="45"/>
      <c r="N739" s="43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  <c r="AA739" s="45"/>
      <c r="AB739" s="45"/>
    </row>
    <row r="740" spans="1:28" ht="30" customHeight="1" x14ac:dyDescent="0.35">
      <c r="A740" s="63">
        <f>A736+1</f>
        <v>322</v>
      </c>
      <c r="B740" s="19" t="s">
        <v>345</v>
      </c>
      <c r="C740" s="66" t="s">
        <v>291</v>
      </c>
      <c r="D740" s="71" t="s">
        <v>346</v>
      </c>
      <c r="E740" s="15"/>
      <c r="F740" s="47"/>
    </row>
    <row r="741" spans="1:28" ht="33" customHeight="1" x14ac:dyDescent="0.35">
      <c r="A741" s="63">
        <f>A740+1</f>
        <v>323</v>
      </c>
      <c r="B741" s="14" t="s">
        <v>81</v>
      </c>
      <c r="C741" s="15" t="s">
        <v>17</v>
      </c>
      <c r="D741" s="64">
        <v>0.4</v>
      </c>
      <c r="E741" s="15"/>
      <c r="F741" s="31"/>
    </row>
    <row r="742" spans="1:28" s="24" customFormat="1" ht="30" hidden="1" customHeight="1" outlineLevel="1" x14ac:dyDescent="0.4">
      <c r="A742" s="26"/>
      <c r="B742" s="17" t="s">
        <v>83</v>
      </c>
      <c r="C742" s="81" t="s">
        <v>17</v>
      </c>
      <c r="D742" s="18">
        <v>0.4</v>
      </c>
      <c r="E742" s="67"/>
      <c r="F742" s="25"/>
    </row>
    <row r="743" spans="1:28" s="46" customFormat="1" ht="36" customHeight="1" collapsed="1" x14ac:dyDescent="0.35">
      <c r="A743" s="63">
        <f>A741+1</f>
        <v>324</v>
      </c>
      <c r="B743" s="14" t="s">
        <v>238</v>
      </c>
      <c r="C743" s="15" t="s">
        <v>21</v>
      </c>
      <c r="D743" s="77" t="s">
        <v>463</v>
      </c>
      <c r="E743" s="14"/>
      <c r="F743" s="41"/>
      <c r="G743" s="42"/>
      <c r="H743" s="43"/>
      <c r="I743" s="44"/>
      <c r="J743" s="44"/>
      <c r="K743" s="45"/>
      <c r="L743" s="45"/>
      <c r="M743" s="45"/>
      <c r="N743" s="43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  <c r="AA743" s="45"/>
      <c r="AB743" s="45"/>
    </row>
    <row r="744" spans="1:28" s="24" customFormat="1" ht="30" hidden="1" customHeight="1" outlineLevel="1" x14ac:dyDescent="0.4">
      <c r="A744" s="26"/>
      <c r="B744" s="17" t="s">
        <v>343</v>
      </c>
      <c r="C744" s="81" t="s">
        <v>16</v>
      </c>
      <c r="D744" s="67">
        <v>6.8000000000000005E-2</v>
      </c>
      <c r="E744" s="67"/>
      <c r="F744" s="25"/>
    </row>
    <row r="745" spans="1:28" s="24" customFormat="1" ht="30" hidden="1" customHeight="1" outlineLevel="1" x14ac:dyDescent="0.4">
      <c r="A745" s="26"/>
      <c r="B745" s="17" t="s">
        <v>322</v>
      </c>
      <c r="C745" s="81" t="s">
        <v>16</v>
      </c>
      <c r="D745" s="67">
        <v>1.9E-2</v>
      </c>
      <c r="E745" s="67"/>
      <c r="F745" s="25"/>
    </row>
    <row r="746" spans="1:28" s="24" customFormat="1" ht="30" hidden="1" customHeight="1" outlineLevel="1" x14ac:dyDescent="0.4">
      <c r="A746" s="26"/>
      <c r="B746" s="17" t="s">
        <v>325</v>
      </c>
      <c r="C746" s="81" t="s">
        <v>16</v>
      </c>
      <c r="D746" s="67">
        <v>0.01</v>
      </c>
      <c r="E746" s="67"/>
      <c r="F746" s="25"/>
    </row>
    <row r="747" spans="1:28" s="24" customFormat="1" ht="30" hidden="1" customHeight="1" outlineLevel="1" x14ac:dyDescent="0.4">
      <c r="A747" s="26"/>
      <c r="B747" s="17" t="s">
        <v>47</v>
      </c>
      <c r="C747" s="81" t="s">
        <v>16</v>
      </c>
      <c r="D747" s="67">
        <v>1E-3</v>
      </c>
      <c r="E747" s="67"/>
      <c r="F747" s="25"/>
    </row>
    <row r="748" spans="1:28" s="24" customFormat="1" ht="30" customHeight="1" collapsed="1" x14ac:dyDescent="0.4">
      <c r="A748" s="63">
        <f>A743+1</f>
        <v>325</v>
      </c>
      <c r="B748" s="19" t="s">
        <v>242</v>
      </c>
      <c r="C748" s="15" t="s">
        <v>16</v>
      </c>
      <c r="D748" s="77">
        <v>9.6000000000000002E-2</v>
      </c>
      <c r="E748" s="77"/>
      <c r="F748" s="25"/>
    </row>
    <row r="749" spans="1:28" ht="36" customHeight="1" x14ac:dyDescent="0.35">
      <c r="A749" s="63">
        <f>A748+1</f>
        <v>326</v>
      </c>
      <c r="B749" s="19" t="s">
        <v>34</v>
      </c>
      <c r="C749" s="15" t="s">
        <v>19</v>
      </c>
      <c r="D749" s="64">
        <f>((0.114*2*3.14)+(0.2*0.2*3)+0.76)*1</f>
        <v>1.59592</v>
      </c>
      <c r="E749" s="15"/>
      <c r="F749" s="47"/>
    </row>
    <row r="750" spans="1:28" ht="36" customHeight="1" x14ac:dyDescent="0.35">
      <c r="A750" s="63">
        <f>A749+1</f>
        <v>327</v>
      </c>
      <c r="B750" s="19" t="s">
        <v>51</v>
      </c>
      <c r="C750" s="15" t="s">
        <v>19</v>
      </c>
      <c r="D750" s="64">
        <v>1.6</v>
      </c>
      <c r="E750" s="15"/>
      <c r="F750" s="47"/>
    </row>
    <row r="751" spans="1:28" ht="36" customHeight="1" x14ac:dyDescent="0.35">
      <c r="A751" s="63">
        <f>A750+1</f>
        <v>328</v>
      </c>
      <c r="B751" s="19" t="s">
        <v>52</v>
      </c>
      <c r="C751" s="15" t="s">
        <v>19</v>
      </c>
      <c r="D751" s="64">
        <v>1.6</v>
      </c>
      <c r="E751" s="15"/>
      <c r="F751" s="47"/>
    </row>
    <row r="752" spans="1:28" s="24" customFormat="1" ht="30" customHeight="1" x14ac:dyDescent="0.4">
      <c r="A752" s="63">
        <f>A751+1</f>
        <v>329</v>
      </c>
      <c r="B752" s="19" t="s">
        <v>89</v>
      </c>
      <c r="C752" s="20" t="s">
        <v>19</v>
      </c>
      <c r="D752" s="64">
        <v>1.6</v>
      </c>
      <c r="E752" s="77"/>
      <c r="F752" s="25"/>
    </row>
    <row r="753" spans="1:28" s="24" customFormat="1" ht="30" hidden="1" customHeight="1" outlineLevel="1" x14ac:dyDescent="0.4">
      <c r="A753" s="26"/>
      <c r="B753" s="17" t="s">
        <v>88</v>
      </c>
      <c r="C753" s="81" t="s">
        <v>25</v>
      </c>
      <c r="D753" s="82">
        <f>1.6*0.36*2</f>
        <v>1.1519999999999999</v>
      </c>
      <c r="E753" s="81">
        <v>1E-3</v>
      </c>
      <c r="F753" s="25"/>
    </row>
    <row r="754" spans="1:28" s="46" customFormat="1" ht="21" customHeight="1" collapsed="1" x14ac:dyDescent="0.35">
      <c r="A754" s="115" t="s">
        <v>319</v>
      </c>
      <c r="B754" s="115"/>
      <c r="C754" s="115"/>
      <c r="D754" s="115"/>
      <c r="E754" s="115"/>
      <c r="F754" s="41"/>
      <c r="G754" s="42"/>
      <c r="H754" s="43"/>
      <c r="I754" s="44"/>
      <c r="J754" s="44"/>
      <c r="K754" s="45"/>
      <c r="L754" s="45"/>
      <c r="M754" s="45"/>
      <c r="N754" s="43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  <c r="AA754" s="45"/>
      <c r="AB754" s="45"/>
    </row>
    <row r="755" spans="1:28" s="46" customFormat="1" ht="21" customHeight="1" x14ac:dyDescent="0.35">
      <c r="A755" s="116" t="s">
        <v>337</v>
      </c>
      <c r="B755" s="116"/>
      <c r="C755" s="116"/>
      <c r="D755" s="116"/>
      <c r="E755" s="116"/>
      <c r="F755" s="41"/>
      <c r="G755" s="42"/>
      <c r="H755" s="43"/>
      <c r="I755" s="44"/>
      <c r="J755" s="44"/>
      <c r="K755" s="45"/>
      <c r="L755" s="45"/>
      <c r="M755" s="45"/>
      <c r="N755" s="43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  <c r="AA755" s="45"/>
      <c r="AB755" s="45"/>
    </row>
    <row r="756" spans="1:28" ht="30" customHeight="1" x14ac:dyDescent="0.35">
      <c r="A756" s="63">
        <f>A752+1</f>
        <v>330</v>
      </c>
      <c r="B756" s="19" t="s">
        <v>300</v>
      </c>
      <c r="C756" s="66" t="s">
        <v>291</v>
      </c>
      <c r="D756" s="71" t="s">
        <v>347</v>
      </c>
      <c r="E756" s="15"/>
      <c r="F756" s="47"/>
    </row>
    <row r="757" spans="1:28" ht="30" customHeight="1" x14ac:dyDescent="0.35">
      <c r="A757" s="63">
        <f>A756+1</f>
        <v>331</v>
      </c>
      <c r="B757" s="19" t="s">
        <v>345</v>
      </c>
      <c r="C757" s="66" t="s">
        <v>291</v>
      </c>
      <c r="D757" s="71" t="s">
        <v>348</v>
      </c>
      <c r="E757" s="15"/>
      <c r="F757" s="47"/>
    </row>
    <row r="758" spans="1:28" ht="33" customHeight="1" x14ac:dyDescent="0.35">
      <c r="A758" s="63">
        <f>A757+1</f>
        <v>332</v>
      </c>
      <c r="B758" s="14" t="s">
        <v>81</v>
      </c>
      <c r="C758" s="15" t="s">
        <v>17</v>
      </c>
      <c r="D758" s="64">
        <v>4</v>
      </c>
      <c r="E758" s="15"/>
      <c r="F758" s="31"/>
    </row>
    <row r="759" spans="1:28" s="24" customFormat="1" ht="30" hidden="1" customHeight="1" outlineLevel="1" x14ac:dyDescent="0.4">
      <c r="A759" s="26"/>
      <c r="B759" s="17" t="s">
        <v>83</v>
      </c>
      <c r="C759" s="81" t="s">
        <v>17</v>
      </c>
      <c r="D759" s="76">
        <v>4</v>
      </c>
      <c r="E759" s="67"/>
      <c r="F759" s="25"/>
    </row>
    <row r="760" spans="1:28" s="24" customFormat="1" ht="30" customHeight="1" collapsed="1" x14ac:dyDescent="0.4">
      <c r="A760" s="63">
        <f>A758+1</f>
        <v>333</v>
      </c>
      <c r="B760" s="74" t="s">
        <v>292</v>
      </c>
      <c r="C760" s="75" t="s">
        <v>16</v>
      </c>
      <c r="D760" s="86">
        <v>0.65</v>
      </c>
      <c r="E760" s="77"/>
      <c r="F760" s="25"/>
    </row>
    <row r="761" spans="1:28" ht="30" hidden="1" customHeight="1" outlineLevel="1" x14ac:dyDescent="0.35">
      <c r="A761" s="16"/>
      <c r="B761" s="17" t="s">
        <v>82</v>
      </c>
      <c r="C761" s="81" t="s">
        <v>16</v>
      </c>
      <c r="D761" s="67">
        <f>3.6*8/1000*10</f>
        <v>0.28799999999999998</v>
      </c>
      <c r="E761" s="18"/>
      <c r="F761" s="47"/>
    </row>
    <row r="762" spans="1:28" ht="30" hidden="1" customHeight="1" outlineLevel="1" x14ac:dyDescent="0.35">
      <c r="A762" s="16"/>
      <c r="B762" s="17" t="s">
        <v>163</v>
      </c>
      <c r="C762" s="81" t="s">
        <v>16</v>
      </c>
      <c r="D762" s="67">
        <f>((9*0.62)+(20*0.13))/1000*10</f>
        <v>8.1799999999999998E-2</v>
      </c>
      <c r="E762" s="18"/>
      <c r="F762" s="47"/>
    </row>
    <row r="763" spans="1:28" s="24" customFormat="1" ht="30" hidden="1" customHeight="1" outlineLevel="1" x14ac:dyDescent="0.4">
      <c r="A763" s="26"/>
      <c r="B763" s="17" t="s">
        <v>306</v>
      </c>
      <c r="C763" s="81" t="s">
        <v>16</v>
      </c>
      <c r="D763" s="67">
        <f>((19.1+8.88)*10)/1000</f>
        <v>0.27980000000000005</v>
      </c>
      <c r="E763" s="67"/>
      <c r="F763" s="25"/>
    </row>
    <row r="764" spans="1:28" ht="31" customHeight="1" collapsed="1" x14ac:dyDescent="0.35">
      <c r="A764" s="63">
        <f>A760+1</f>
        <v>334</v>
      </c>
      <c r="B764" s="14" t="s">
        <v>303</v>
      </c>
      <c r="C764" s="15" t="s">
        <v>17</v>
      </c>
      <c r="D764" s="77">
        <v>1.3</v>
      </c>
      <c r="E764" s="15"/>
      <c r="F764" s="47"/>
    </row>
    <row r="765" spans="1:28" ht="31" hidden="1" customHeight="1" outlineLevel="1" x14ac:dyDescent="0.35">
      <c r="A765" s="16"/>
      <c r="B765" s="17" t="s">
        <v>83</v>
      </c>
      <c r="C765" s="81" t="s">
        <v>17</v>
      </c>
      <c r="D765" s="82">
        <v>1.3</v>
      </c>
      <c r="E765" s="81"/>
      <c r="F765" s="47"/>
    </row>
    <row r="766" spans="1:28" s="24" customFormat="1" ht="30" customHeight="1" collapsed="1" x14ac:dyDescent="0.4">
      <c r="A766" s="63">
        <f>A764+1</f>
        <v>335</v>
      </c>
      <c r="B766" s="19" t="s">
        <v>307</v>
      </c>
      <c r="C766" s="20" t="s">
        <v>16</v>
      </c>
      <c r="D766" s="84">
        <v>0.17299999999999999</v>
      </c>
      <c r="E766" s="77"/>
      <c r="F766" s="25"/>
    </row>
    <row r="767" spans="1:28" s="24" customFormat="1" ht="30" hidden="1" customHeight="1" outlineLevel="1" x14ac:dyDescent="0.4">
      <c r="A767" s="26"/>
      <c r="B767" s="17" t="s">
        <v>304</v>
      </c>
      <c r="C767" s="81" t="s">
        <v>18</v>
      </c>
      <c r="D767" s="83">
        <v>60</v>
      </c>
      <c r="E767" s="67">
        <f>60*2.31/1000</f>
        <v>0.1386</v>
      </c>
      <c r="F767" s="25"/>
    </row>
    <row r="768" spans="1:28" s="24" customFormat="1" ht="30" hidden="1" customHeight="1" outlineLevel="1" x14ac:dyDescent="0.4">
      <c r="A768" s="26"/>
      <c r="B768" s="17" t="s">
        <v>305</v>
      </c>
      <c r="C768" s="81" t="s">
        <v>16</v>
      </c>
      <c r="D768" s="67">
        <f>3.41*10/1000</f>
        <v>3.4099999999999998E-2</v>
      </c>
      <c r="E768" s="67"/>
      <c r="F768" s="25"/>
    </row>
    <row r="769" spans="1:28" ht="36" customHeight="1" collapsed="1" x14ac:dyDescent="0.35">
      <c r="A769" s="63">
        <f>A766+1</f>
        <v>336</v>
      </c>
      <c r="B769" s="19" t="s">
        <v>110</v>
      </c>
      <c r="C769" s="15" t="s">
        <v>17</v>
      </c>
      <c r="D769" s="23">
        <v>0.05</v>
      </c>
      <c r="E769" s="15"/>
      <c r="F769" s="47"/>
    </row>
    <row r="770" spans="1:28" s="24" customFormat="1" ht="30" customHeight="1" x14ac:dyDescent="0.4">
      <c r="A770" s="63">
        <f>A769+1</f>
        <v>337</v>
      </c>
      <c r="B770" s="19" t="s">
        <v>108</v>
      </c>
      <c r="C770" s="20" t="s">
        <v>107</v>
      </c>
      <c r="D770" s="77" t="s">
        <v>349</v>
      </c>
      <c r="E770" s="77"/>
      <c r="F770" s="25"/>
    </row>
    <row r="771" spans="1:28" s="46" customFormat="1" ht="21" customHeight="1" x14ac:dyDescent="0.35">
      <c r="A771" s="115" t="s">
        <v>320</v>
      </c>
      <c r="B771" s="115"/>
      <c r="C771" s="115"/>
      <c r="D771" s="115"/>
      <c r="E771" s="115"/>
      <c r="F771" s="41"/>
      <c r="G771" s="42"/>
      <c r="H771" s="43"/>
      <c r="I771" s="44"/>
      <c r="J771" s="44"/>
      <c r="K771" s="45"/>
      <c r="L771" s="45"/>
      <c r="M771" s="45"/>
      <c r="N771" s="43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  <c r="AA771" s="45"/>
      <c r="AB771" s="45"/>
    </row>
    <row r="772" spans="1:28" s="46" customFormat="1" ht="36" customHeight="1" x14ac:dyDescent="0.35">
      <c r="A772" s="63">
        <f>A770+1</f>
        <v>338</v>
      </c>
      <c r="B772" s="19" t="s">
        <v>328</v>
      </c>
      <c r="C772" s="15" t="s">
        <v>21</v>
      </c>
      <c r="D772" s="77" t="s">
        <v>464</v>
      </c>
      <c r="E772" s="14"/>
      <c r="F772" s="41"/>
      <c r="G772" s="42"/>
      <c r="H772" s="43"/>
      <c r="I772" s="44"/>
      <c r="J772" s="44"/>
      <c r="K772" s="45"/>
      <c r="L772" s="45"/>
      <c r="M772" s="45"/>
      <c r="N772" s="43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  <c r="AA772" s="45"/>
      <c r="AB772" s="45"/>
    </row>
    <row r="773" spans="1:28" s="24" customFormat="1" ht="30" hidden="1" customHeight="1" outlineLevel="1" x14ac:dyDescent="0.4">
      <c r="A773" s="26"/>
      <c r="B773" s="17" t="s">
        <v>321</v>
      </c>
      <c r="C773" s="81" t="s">
        <v>16</v>
      </c>
      <c r="D773" s="67">
        <f>1.565/1.1*1.012</f>
        <v>1.4398</v>
      </c>
      <c r="E773" s="67"/>
      <c r="F773" s="25"/>
    </row>
    <row r="774" spans="1:28" s="24" customFormat="1" ht="30" hidden="1" customHeight="1" outlineLevel="1" x14ac:dyDescent="0.4">
      <c r="A774" s="26"/>
      <c r="B774" s="17" t="s">
        <v>343</v>
      </c>
      <c r="C774" s="81" t="s">
        <v>16</v>
      </c>
      <c r="D774" s="67">
        <f>0.976/1.1*1.012</f>
        <v>0.89791999999999994</v>
      </c>
      <c r="E774" s="67"/>
      <c r="F774" s="25"/>
    </row>
    <row r="775" spans="1:28" s="24" customFormat="1" ht="30" hidden="1" customHeight="1" outlineLevel="1" x14ac:dyDescent="0.4">
      <c r="A775" s="26"/>
      <c r="B775" s="17" t="s">
        <v>322</v>
      </c>
      <c r="C775" s="81" t="s">
        <v>16</v>
      </c>
      <c r="D775" s="67">
        <f>0.521/1.1*1.012</f>
        <v>0.47932000000000002</v>
      </c>
      <c r="E775" s="67"/>
      <c r="F775" s="25"/>
    </row>
    <row r="776" spans="1:28" s="24" customFormat="1" ht="30" hidden="1" customHeight="1" outlineLevel="1" x14ac:dyDescent="0.4">
      <c r="A776" s="26"/>
      <c r="B776" s="17" t="s">
        <v>324</v>
      </c>
      <c r="C776" s="81" t="s">
        <v>16</v>
      </c>
      <c r="D776" s="67">
        <f>0.035/1.1*1.012</f>
        <v>3.2200000000000006E-2</v>
      </c>
      <c r="E776" s="67"/>
      <c r="F776" s="25"/>
    </row>
    <row r="777" spans="1:28" s="24" customFormat="1" ht="30" hidden="1" customHeight="1" outlineLevel="1" x14ac:dyDescent="0.4">
      <c r="A777" s="26"/>
      <c r="B777" s="17" t="s">
        <v>325</v>
      </c>
      <c r="C777" s="81" t="s">
        <v>16</v>
      </c>
      <c r="D777" s="67">
        <f>0.44/1.1*1.012</f>
        <v>0.40479999999999999</v>
      </c>
      <c r="E777" s="67"/>
      <c r="F777" s="25"/>
    </row>
    <row r="778" spans="1:28" s="24" customFormat="1" ht="30" hidden="1" customHeight="1" outlineLevel="1" x14ac:dyDescent="0.4">
      <c r="A778" s="26"/>
      <c r="B778" s="17" t="s">
        <v>326</v>
      </c>
      <c r="C778" s="81" t="s">
        <v>16</v>
      </c>
      <c r="D778" s="67">
        <f>0.045/1.1*1.012</f>
        <v>4.1399999999999992E-2</v>
      </c>
      <c r="E778" s="67"/>
      <c r="F778" s="25"/>
    </row>
    <row r="779" spans="1:28" s="24" customFormat="1" ht="30" hidden="1" customHeight="1" outlineLevel="1" x14ac:dyDescent="0.4">
      <c r="A779" s="26"/>
      <c r="B779" s="17" t="s">
        <v>327</v>
      </c>
      <c r="C779" s="81" t="s">
        <v>16</v>
      </c>
      <c r="D779" s="67">
        <f>0.622/1.1*1.012</f>
        <v>0.57223999999999997</v>
      </c>
      <c r="E779" s="67"/>
      <c r="F779" s="25"/>
    </row>
    <row r="780" spans="1:28" ht="36" customHeight="1" collapsed="1" x14ac:dyDescent="0.35">
      <c r="A780" s="63">
        <f>A772+1</f>
        <v>339</v>
      </c>
      <c r="B780" s="19" t="s">
        <v>34</v>
      </c>
      <c r="C780" s="15" t="s">
        <v>19</v>
      </c>
      <c r="D780" s="64">
        <f>(((0.114*2.5*3.14)+(0.219*3.66*3.14)+(0.2*0.2*7))+19+1)*10</f>
        <v>236.91735600000001</v>
      </c>
      <c r="E780" s="15"/>
      <c r="F780" s="47"/>
    </row>
    <row r="781" spans="1:28" ht="36" customHeight="1" x14ac:dyDescent="0.35">
      <c r="A781" s="63">
        <f>A780+1</f>
        <v>340</v>
      </c>
      <c r="B781" s="19" t="s">
        <v>51</v>
      </c>
      <c r="C781" s="15" t="s">
        <v>19</v>
      </c>
      <c r="D781" s="64">
        <f>(((0.114*2.5*3.14)+(0.219*3.66*3.14)+(0.2*0.2*7))+19+1)*10</f>
        <v>236.91735600000001</v>
      </c>
      <c r="E781" s="15"/>
      <c r="F781" s="47"/>
    </row>
    <row r="782" spans="1:28" ht="36" customHeight="1" x14ac:dyDescent="0.35">
      <c r="A782" s="63">
        <f>A781+1</f>
        <v>341</v>
      </c>
      <c r="B782" s="19" t="s">
        <v>52</v>
      </c>
      <c r="C782" s="15" t="s">
        <v>19</v>
      </c>
      <c r="D782" s="64">
        <f>(((0.114*2.5*3.14)+(0.219*3.66*3.14)+(0.2*0.2*7))+19+1)*10</f>
        <v>236.91735600000001</v>
      </c>
      <c r="E782" s="15"/>
      <c r="F782" s="47"/>
    </row>
    <row r="783" spans="1:28" s="24" customFormat="1" ht="30" customHeight="1" x14ac:dyDescent="0.4">
      <c r="A783" s="63">
        <f>A782+1</f>
        <v>342</v>
      </c>
      <c r="B783" s="19" t="s">
        <v>89</v>
      </c>
      <c r="C783" s="20" t="s">
        <v>19</v>
      </c>
      <c r="D783" s="64">
        <f>(((0.114*2.5*3.14)+(0.219*3.66*3.14)+(0.2*0.2*7))+19+1)*10</f>
        <v>236.91735600000001</v>
      </c>
      <c r="E783" s="77"/>
      <c r="F783" s="25"/>
    </row>
    <row r="784" spans="1:28" s="24" customFormat="1" ht="30" hidden="1" customHeight="1" outlineLevel="1" x14ac:dyDescent="0.4">
      <c r="A784" s="26"/>
      <c r="B784" s="17" t="s">
        <v>88</v>
      </c>
      <c r="C784" s="81" t="s">
        <v>25</v>
      </c>
      <c r="D784" s="82">
        <f>236.9*0.36*2</f>
        <v>170.56799999999998</v>
      </c>
      <c r="E784" s="81">
        <v>0.17100000000000001</v>
      </c>
      <c r="F784" s="25"/>
    </row>
    <row r="785" spans="1:28" s="46" customFormat="1" ht="21" customHeight="1" collapsed="1" x14ac:dyDescent="0.35">
      <c r="A785" s="115" t="s">
        <v>320</v>
      </c>
      <c r="B785" s="115"/>
      <c r="C785" s="115"/>
      <c r="D785" s="115"/>
      <c r="E785" s="115"/>
      <c r="F785" s="41"/>
      <c r="G785" s="42"/>
      <c r="H785" s="43"/>
      <c r="I785" s="44"/>
      <c r="J785" s="44"/>
      <c r="K785" s="45"/>
      <c r="L785" s="45"/>
      <c r="M785" s="45"/>
      <c r="N785" s="43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  <c r="AA785" s="45"/>
      <c r="AB785" s="45"/>
    </row>
    <row r="786" spans="1:28" s="24" customFormat="1" ht="30" customHeight="1" x14ac:dyDescent="0.4">
      <c r="A786" s="63">
        <f>A783+1</f>
        <v>343</v>
      </c>
      <c r="B786" s="74" t="s">
        <v>350</v>
      </c>
      <c r="C786" s="75" t="s">
        <v>16</v>
      </c>
      <c r="D786" s="86">
        <f>7.118/1.1</f>
        <v>6.4709090909090907</v>
      </c>
      <c r="E786" s="77"/>
      <c r="F786" s="25"/>
    </row>
    <row r="787" spans="1:28" ht="30" hidden="1" customHeight="1" outlineLevel="1" x14ac:dyDescent="0.35">
      <c r="A787" s="16"/>
      <c r="B787" s="17" t="s">
        <v>351</v>
      </c>
      <c r="C787" s="81" t="s">
        <v>16</v>
      </c>
      <c r="D787" s="67">
        <f>7.118/1.1*1.012</f>
        <v>6.5485600000000002</v>
      </c>
      <c r="E787" s="18"/>
      <c r="F787" s="47"/>
    </row>
    <row r="788" spans="1:28" ht="36" customHeight="1" collapsed="1" x14ac:dyDescent="0.35">
      <c r="A788" s="63">
        <f>A786+1</f>
        <v>344</v>
      </c>
      <c r="B788" s="19" t="s">
        <v>34</v>
      </c>
      <c r="C788" s="15" t="s">
        <v>19</v>
      </c>
      <c r="D788" s="64">
        <f>0.741*(4.5+9+9+18.1+50.5+54.26+54.26+54.26+54.26+54.26)</f>
        <v>268.53839999999997</v>
      </c>
      <c r="E788" s="15"/>
      <c r="F788" s="47"/>
    </row>
    <row r="789" spans="1:28" ht="36" customHeight="1" x14ac:dyDescent="0.35">
      <c r="A789" s="63">
        <f>A788+1</f>
        <v>345</v>
      </c>
      <c r="B789" s="19" t="s">
        <v>51</v>
      </c>
      <c r="C789" s="15" t="s">
        <v>19</v>
      </c>
      <c r="D789" s="64">
        <f>0.741*(4.5+9+9+18.1+50.5+54.26+54.26+54.26+54.26+54.26)</f>
        <v>268.53839999999997</v>
      </c>
      <c r="E789" s="15"/>
      <c r="F789" s="47"/>
    </row>
    <row r="790" spans="1:28" ht="36" customHeight="1" x14ac:dyDescent="0.35">
      <c r="A790" s="63">
        <f>A789+1</f>
        <v>346</v>
      </c>
      <c r="B790" s="19" t="s">
        <v>52</v>
      </c>
      <c r="C790" s="15" t="s">
        <v>19</v>
      </c>
      <c r="D790" s="64">
        <f>0.741*(4.5+9+9+18.1+50.5+54.26+54.26+54.26+54.26+54.26)</f>
        <v>268.53839999999997</v>
      </c>
      <c r="E790" s="15"/>
      <c r="F790" s="47"/>
    </row>
    <row r="791" spans="1:28" s="24" customFormat="1" ht="30" customHeight="1" x14ac:dyDescent="0.4">
      <c r="A791" s="63">
        <f>A790+1</f>
        <v>347</v>
      </c>
      <c r="B791" s="19" t="s">
        <v>89</v>
      </c>
      <c r="C791" s="20" t="s">
        <v>19</v>
      </c>
      <c r="D791" s="64">
        <f>0.741*(4.5+9+9+18.1+50.5+54.26+54.26+54.26+54.26+54.26)</f>
        <v>268.53839999999997</v>
      </c>
      <c r="E791" s="77"/>
      <c r="F791" s="25"/>
    </row>
    <row r="792" spans="1:28" s="24" customFormat="1" ht="30" hidden="1" customHeight="1" outlineLevel="1" x14ac:dyDescent="0.4">
      <c r="A792" s="26"/>
      <c r="B792" s="17" t="s">
        <v>88</v>
      </c>
      <c r="C792" s="81" t="s">
        <v>25</v>
      </c>
      <c r="D792" s="82">
        <f>268.5*0.36*2</f>
        <v>193.32</v>
      </c>
      <c r="E792" s="81">
        <v>0.193</v>
      </c>
      <c r="F792" s="25"/>
    </row>
    <row r="793" spans="1:28" s="46" customFormat="1" ht="21" customHeight="1" collapsed="1" x14ac:dyDescent="0.35">
      <c r="A793" s="115" t="s">
        <v>352</v>
      </c>
      <c r="B793" s="115"/>
      <c r="C793" s="115"/>
      <c r="D793" s="115"/>
      <c r="E793" s="115"/>
      <c r="F793" s="41"/>
      <c r="G793" s="42"/>
      <c r="H793" s="43"/>
      <c r="I793" s="44"/>
      <c r="J793" s="44"/>
      <c r="K793" s="45"/>
      <c r="L793" s="45"/>
      <c r="M793" s="45"/>
      <c r="N793" s="43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  <c r="AA793" s="45"/>
      <c r="AB793" s="45"/>
    </row>
    <row r="794" spans="1:28" ht="33" customHeight="1" x14ac:dyDescent="0.35">
      <c r="A794" s="63">
        <f>A791+1</f>
        <v>348</v>
      </c>
      <c r="B794" s="19" t="s">
        <v>119</v>
      </c>
      <c r="C794" s="15" t="s">
        <v>18</v>
      </c>
      <c r="D794" s="77">
        <v>2</v>
      </c>
      <c r="E794" s="15" t="s">
        <v>353</v>
      </c>
      <c r="F794" s="31"/>
    </row>
    <row r="795" spans="1:28" ht="33" customHeight="1" x14ac:dyDescent="0.35">
      <c r="A795" s="63">
        <f>A794+1</f>
        <v>349</v>
      </c>
      <c r="B795" s="19" t="s">
        <v>143</v>
      </c>
      <c r="C795" s="15" t="s">
        <v>18</v>
      </c>
      <c r="D795" s="77">
        <v>1</v>
      </c>
      <c r="E795" s="15" t="s">
        <v>354</v>
      </c>
      <c r="F795" s="31"/>
    </row>
    <row r="796" spans="1:28" s="24" customFormat="1" ht="30.9" x14ac:dyDescent="0.4">
      <c r="A796" s="63">
        <f>A795+1</f>
        <v>350</v>
      </c>
      <c r="B796" s="19" t="s">
        <v>465</v>
      </c>
      <c r="C796" s="20" t="s">
        <v>23</v>
      </c>
      <c r="D796" s="23">
        <f>2.5+0.977+5+6+6+6+6+6+0.8+6+6+3.5+2.5+4+0.85</f>
        <v>62.127000000000002</v>
      </c>
      <c r="E796" s="70" t="s">
        <v>265</v>
      </c>
      <c r="F796" s="25"/>
    </row>
    <row r="797" spans="1:28" s="24" customFormat="1" ht="30.9" hidden="1" outlineLevel="1" x14ac:dyDescent="0.4">
      <c r="A797" s="26"/>
      <c r="B797" s="17" t="s">
        <v>258</v>
      </c>
      <c r="C797" s="81" t="s">
        <v>16</v>
      </c>
      <c r="D797" s="67">
        <f>62.1*2.76*1.1/1000</f>
        <v>0.1885356</v>
      </c>
      <c r="E797" s="67"/>
      <c r="F797" s="25"/>
    </row>
    <row r="798" spans="1:28" s="24" customFormat="1" ht="30" hidden="1" customHeight="1" outlineLevel="1" x14ac:dyDescent="0.4">
      <c r="A798" s="26"/>
      <c r="B798" s="17" t="s">
        <v>355</v>
      </c>
      <c r="C798" s="81" t="s">
        <v>18</v>
      </c>
      <c r="D798" s="83">
        <v>6</v>
      </c>
      <c r="E798" s="67">
        <v>2E-3</v>
      </c>
      <c r="F798" s="25"/>
    </row>
    <row r="799" spans="1:28" s="24" customFormat="1" ht="30.9" collapsed="1" x14ac:dyDescent="0.4">
      <c r="A799" s="63">
        <f>A796+1</f>
        <v>351</v>
      </c>
      <c r="B799" s="19" t="s">
        <v>424</v>
      </c>
      <c r="C799" s="20" t="s">
        <v>23</v>
      </c>
      <c r="D799" s="77">
        <f>6+3+6+6+3.5+2.5+4+0.85</f>
        <v>31.85</v>
      </c>
      <c r="E799" s="70" t="s">
        <v>265</v>
      </c>
      <c r="F799" s="25"/>
    </row>
    <row r="800" spans="1:28" s="24" customFormat="1" ht="30.9" hidden="1" outlineLevel="1" x14ac:dyDescent="0.4">
      <c r="A800" s="26"/>
      <c r="B800" s="17" t="s">
        <v>148</v>
      </c>
      <c r="C800" s="81" t="s">
        <v>16</v>
      </c>
      <c r="D800" s="67">
        <f>31.85*5.23*1.1/1000</f>
        <v>0.18323305000000004</v>
      </c>
      <c r="E800" s="67"/>
      <c r="F800" s="25"/>
    </row>
    <row r="801" spans="1:6" s="24" customFormat="1" ht="30" hidden="1" customHeight="1" outlineLevel="1" x14ac:dyDescent="0.4">
      <c r="A801" s="26"/>
      <c r="B801" s="17" t="s">
        <v>126</v>
      </c>
      <c r="C801" s="81" t="s">
        <v>18</v>
      </c>
      <c r="D801" s="83">
        <v>5</v>
      </c>
      <c r="E801" s="67">
        <v>1E-3</v>
      </c>
      <c r="F801" s="25"/>
    </row>
    <row r="802" spans="1:6" s="24" customFormat="1" ht="30.9" collapsed="1" x14ac:dyDescent="0.4">
      <c r="A802" s="63">
        <f>A799+1</f>
        <v>352</v>
      </c>
      <c r="B802" s="19" t="s">
        <v>435</v>
      </c>
      <c r="C802" s="20" t="s">
        <v>23</v>
      </c>
      <c r="D802" s="64">
        <f>0.2+5+6+6+6+6+6+6+6+3.5+2.5+4</f>
        <v>57.2</v>
      </c>
      <c r="E802" s="70" t="s">
        <v>265</v>
      </c>
      <c r="F802" s="25"/>
    </row>
    <row r="803" spans="1:6" s="24" customFormat="1" ht="30.9" hidden="1" outlineLevel="1" x14ac:dyDescent="0.4">
      <c r="A803" s="26"/>
      <c r="B803" s="17" t="s">
        <v>207</v>
      </c>
      <c r="C803" s="81" t="s">
        <v>16</v>
      </c>
      <c r="D803" s="67">
        <f>57.2*12.28*1.1/1000</f>
        <v>0.77265760000000017</v>
      </c>
      <c r="E803" s="67"/>
      <c r="F803" s="25"/>
    </row>
    <row r="804" spans="1:6" s="24" customFormat="1" ht="30" hidden="1" customHeight="1" outlineLevel="1" x14ac:dyDescent="0.4">
      <c r="A804" s="26"/>
      <c r="B804" s="17" t="s">
        <v>127</v>
      </c>
      <c r="C804" s="81" t="s">
        <v>18</v>
      </c>
      <c r="D804" s="83">
        <v>3</v>
      </c>
      <c r="E804" s="67">
        <v>7.0000000000000001E-3</v>
      </c>
      <c r="F804" s="25"/>
    </row>
    <row r="805" spans="1:6" s="24" customFormat="1" ht="30" hidden="1" customHeight="1" outlineLevel="1" x14ac:dyDescent="0.4">
      <c r="A805" s="26"/>
      <c r="B805" s="17" t="s">
        <v>357</v>
      </c>
      <c r="C805" s="81" t="s">
        <v>18</v>
      </c>
      <c r="D805" s="83">
        <v>1</v>
      </c>
      <c r="E805" s="67">
        <v>1E-3</v>
      </c>
      <c r="F805" s="25"/>
    </row>
    <row r="806" spans="1:6" s="24" customFormat="1" ht="30.9" collapsed="1" x14ac:dyDescent="0.4">
      <c r="A806" s="63">
        <f>A802+1</f>
        <v>353</v>
      </c>
      <c r="B806" s="19" t="s">
        <v>436</v>
      </c>
      <c r="C806" s="20" t="s">
        <v>23</v>
      </c>
      <c r="D806" s="64">
        <f>0.5+5+6+6+6+6+6+6+6+3.5+2.5+4</f>
        <v>57.5</v>
      </c>
      <c r="E806" s="70" t="s">
        <v>265</v>
      </c>
      <c r="F806" s="25"/>
    </row>
    <row r="807" spans="1:6" s="24" customFormat="1" ht="30.9" hidden="1" outlineLevel="1" x14ac:dyDescent="0.4">
      <c r="A807" s="26"/>
      <c r="B807" s="17" t="s">
        <v>356</v>
      </c>
      <c r="C807" s="81" t="s">
        <v>16</v>
      </c>
      <c r="D807" s="67">
        <f>57.2*12.28*1.1/1000</f>
        <v>0.77265760000000017</v>
      </c>
      <c r="E807" s="67"/>
      <c r="F807" s="25"/>
    </row>
    <row r="808" spans="1:6" s="24" customFormat="1" ht="30" hidden="1" customHeight="1" outlineLevel="1" x14ac:dyDescent="0.4">
      <c r="A808" s="26"/>
      <c r="B808" s="17" t="s">
        <v>128</v>
      </c>
      <c r="C808" s="81" t="s">
        <v>18</v>
      </c>
      <c r="D808" s="83">
        <v>3</v>
      </c>
      <c r="E808" s="67">
        <v>1.23E-2</v>
      </c>
      <c r="F808" s="25"/>
    </row>
    <row r="809" spans="1:6" s="24" customFormat="1" ht="30" customHeight="1" collapsed="1" x14ac:dyDescent="0.4">
      <c r="A809" s="63">
        <f>A806+1</f>
        <v>354</v>
      </c>
      <c r="B809" s="19" t="s">
        <v>132</v>
      </c>
      <c r="C809" s="20" t="s">
        <v>21</v>
      </c>
      <c r="D809" s="77" t="s">
        <v>359</v>
      </c>
      <c r="E809" s="77"/>
      <c r="F809" s="25"/>
    </row>
    <row r="810" spans="1:6" s="24" customFormat="1" ht="30" hidden="1" customHeight="1" outlineLevel="1" x14ac:dyDescent="0.4">
      <c r="A810" s="26"/>
      <c r="B810" s="17" t="s">
        <v>358</v>
      </c>
      <c r="C810" s="81" t="s">
        <v>18</v>
      </c>
      <c r="D810" s="83">
        <v>29</v>
      </c>
      <c r="E810" s="67">
        <f>29*1.1/1000</f>
        <v>3.1900000000000005E-2</v>
      </c>
      <c r="F810" s="25"/>
    </row>
    <row r="811" spans="1:6" s="24" customFormat="1" ht="30" hidden="1" customHeight="1" outlineLevel="1" x14ac:dyDescent="0.4">
      <c r="A811" s="26"/>
      <c r="B811" s="17" t="s">
        <v>150</v>
      </c>
      <c r="C811" s="81" t="s">
        <v>18</v>
      </c>
      <c r="D811" s="83">
        <v>11</v>
      </c>
      <c r="E811" s="67">
        <f>2.1*11/1000</f>
        <v>2.3100000000000002E-2</v>
      </c>
      <c r="F811" s="25"/>
    </row>
    <row r="812" spans="1:6" s="24" customFormat="1" ht="30" hidden="1" customHeight="1" outlineLevel="1" x14ac:dyDescent="0.4">
      <c r="A812" s="26"/>
      <c r="B812" s="17" t="s">
        <v>133</v>
      </c>
      <c r="C812" s="81" t="s">
        <v>18</v>
      </c>
      <c r="D812" s="83">
        <v>19</v>
      </c>
      <c r="E812" s="67">
        <f>2.2*19/1000</f>
        <v>4.1800000000000004E-2</v>
      </c>
      <c r="F812" s="25"/>
    </row>
    <row r="813" spans="1:6" s="24" customFormat="1" ht="30" hidden="1" customHeight="1" outlineLevel="1" x14ac:dyDescent="0.4">
      <c r="A813" s="26"/>
      <c r="B813" s="17" t="s">
        <v>210</v>
      </c>
      <c r="C813" s="81" t="s">
        <v>18</v>
      </c>
      <c r="D813" s="83">
        <v>19</v>
      </c>
      <c r="E813" s="67">
        <f>19*5.4/1000</f>
        <v>0.10260000000000001</v>
      </c>
      <c r="F813" s="25"/>
    </row>
    <row r="814" spans="1:6" ht="36" customHeight="1" collapsed="1" x14ac:dyDescent="0.35">
      <c r="A814" s="63">
        <f>A809+1</f>
        <v>355</v>
      </c>
      <c r="B814" s="19" t="s">
        <v>34</v>
      </c>
      <c r="C814" s="15" t="s">
        <v>19</v>
      </c>
      <c r="D814" s="23">
        <f>((0.032*3.14*62.13)+(0.057*3.14*31.85)+(0.089*3.14*57.2)+(0.114*3.14*57.5))*1.1</f>
        <v>53.362262140000006</v>
      </c>
      <c r="E814" s="15"/>
      <c r="F814" s="47"/>
    </row>
    <row r="815" spans="1:6" ht="36" customHeight="1" x14ac:dyDescent="0.35">
      <c r="A815" s="63">
        <f>A814+1</f>
        <v>356</v>
      </c>
      <c r="B815" s="19" t="s">
        <v>51</v>
      </c>
      <c r="C815" s="15" t="s">
        <v>19</v>
      </c>
      <c r="D815" s="23">
        <f>((0.032*3.14*62.13)+(0.057*3.14*31.85)+(0.089*3.14*57.2)+(0.114*3.14*57.5))*1.1</f>
        <v>53.362262140000006</v>
      </c>
      <c r="E815" s="15"/>
      <c r="F815" s="47"/>
    </row>
    <row r="816" spans="1:6" ht="36" customHeight="1" x14ac:dyDescent="0.35">
      <c r="A816" s="63">
        <f>A815+1</f>
        <v>357</v>
      </c>
      <c r="B816" s="19" t="s">
        <v>52</v>
      </c>
      <c r="C816" s="15" t="s">
        <v>19</v>
      </c>
      <c r="D816" s="23">
        <f>((0.032*3.14*62.13)+(0.057*3.14*31.85)+(0.089*3.14*57.2)+(0.114*3.14*57.5))*1.1</f>
        <v>53.362262140000006</v>
      </c>
      <c r="E816" s="15"/>
      <c r="F816" s="47"/>
    </row>
    <row r="817" spans="1:6" s="24" customFormat="1" ht="30" customHeight="1" x14ac:dyDescent="0.4">
      <c r="A817" s="63">
        <f>A816+1</f>
        <v>358</v>
      </c>
      <c r="B817" s="19" t="s">
        <v>89</v>
      </c>
      <c r="C817" s="20" t="s">
        <v>19</v>
      </c>
      <c r="D817" s="23">
        <f>((0.032*3.14*62.13)+(0.057*3.14*31.85)+(0.089*3.14*57.2)+(0.114*3.14*57.5))*1.1</f>
        <v>53.362262140000006</v>
      </c>
      <c r="E817" s="77"/>
      <c r="F817" s="25"/>
    </row>
    <row r="818" spans="1:6" s="24" customFormat="1" ht="30" hidden="1" customHeight="1" outlineLevel="1" x14ac:dyDescent="0.4">
      <c r="A818" s="26"/>
      <c r="B818" s="17" t="s">
        <v>88</v>
      </c>
      <c r="C818" s="81" t="s">
        <v>25</v>
      </c>
      <c r="D818" s="82">
        <f>53.36*2*0.36</f>
        <v>38.419199999999996</v>
      </c>
      <c r="E818" s="81">
        <v>3.7999999999999999E-2</v>
      </c>
      <c r="F818" s="25"/>
    </row>
    <row r="819" spans="1:6" ht="31" customHeight="1" collapsed="1" x14ac:dyDescent="0.35">
      <c r="A819" s="63">
        <f>A817+1</f>
        <v>359</v>
      </c>
      <c r="B819" s="14" t="s">
        <v>278</v>
      </c>
      <c r="C819" s="21" t="s">
        <v>31</v>
      </c>
      <c r="D819" s="15" t="s">
        <v>373</v>
      </c>
      <c r="E819" s="15"/>
      <c r="F819" s="47"/>
    </row>
    <row r="820" spans="1:6" ht="30" hidden="1" customHeight="1" outlineLevel="1" x14ac:dyDescent="0.35">
      <c r="A820" s="16"/>
      <c r="B820" s="17" t="s">
        <v>268</v>
      </c>
      <c r="C820" s="81" t="s">
        <v>18</v>
      </c>
      <c r="D820" s="83">
        <v>63</v>
      </c>
      <c r="E820" s="18"/>
      <c r="F820" s="47"/>
    </row>
    <row r="821" spans="1:6" ht="30" hidden="1" customHeight="1" outlineLevel="1" x14ac:dyDescent="0.35">
      <c r="A821" s="16"/>
      <c r="B821" s="17" t="s">
        <v>269</v>
      </c>
      <c r="C821" s="81" t="s">
        <v>18</v>
      </c>
      <c r="D821" s="83">
        <v>8</v>
      </c>
      <c r="E821" s="18"/>
      <c r="F821" s="47"/>
    </row>
    <row r="822" spans="1:6" ht="30" customHeight="1" collapsed="1" x14ac:dyDescent="0.35">
      <c r="A822" s="63">
        <f>A819+1</f>
        <v>360</v>
      </c>
      <c r="B822" s="19" t="s">
        <v>360</v>
      </c>
      <c r="C822" s="20" t="s">
        <v>32</v>
      </c>
      <c r="D822" s="77" t="s">
        <v>361</v>
      </c>
      <c r="E822" s="77"/>
      <c r="F822" s="47"/>
    </row>
    <row r="823" spans="1:6" ht="30" hidden="1" customHeight="1" outlineLevel="1" x14ac:dyDescent="0.35">
      <c r="A823" s="16"/>
      <c r="B823" s="17" t="s">
        <v>362</v>
      </c>
      <c r="C823" s="81" t="s">
        <v>18</v>
      </c>
      <c r="D823" s="81">
        <v>6</v>
      </c>
      <c r="E823" s="18"/>
      <c r="F823" s="47"/>
    </row>
    <row r="824" spans="1:6" ht="31" customHeight="1" collapsed="1" x14ac:dyDescent="0.35">
      <c r="A824" s="63">
        <f>A822+1</f>
        <v>361</v>
      </c>
      <c r="B824" s="14" t="s">
        <v>42</v>
      </c>
      <c r="C824" s="21" t="s">
        <v>31</v>
      </c>
      <c r="D824" s="15" t="s">
        <v>374</v>
      </c>
      <c r="E824" s="15"/>
      <c r="F824" s="47"/>
    </row>
    <row r="825" spans="1:6" ht="30" hidden="1" customHeight="1" outlineLevel="1" x14ac:dyDescent="0.35">
      <c r="A825" s="16"/>
      <c r="B825" s="17" t="s">
        <v>270</v>
      </c>
      <c r="C825" s="81" t="s">
        <v>18</v>
      </c>
      <c r="D825" s="83">
        <v>32</v>
      </c>
      <c r="E825" s="18"/>
      <c r="F825" s="47"/>
    </row>
    <row r="826" spans="1:6" ht="30" hidden="1" customHeight="1" outlineLevel="1" x14ac:dyDescent="0.35">
      <c r="A826" s="16"/>
      <c r="B826" s="17" t="s">
        <v>271</v>
      </c>
      <c r="C826" s="81" t="s">
        <v>18</v>
      </c>
      <c r="D826" s="83">
        <v>160</v>
      </c>
      <c r="E826" s="18"/>
      <c r="F826" s="47"/>
    </row>
    <row r="827" spans="1:6" ht="30" customHeight="1" collapsed="1" x14ac:dyDescent="0.35">
      <c r="A827" s="63">
        <f>A824+1</f>
        <v>362</v>
      </c>
      <c r="B827" s="19" t="s">
        <v>277</v>
      </c>
      <c r="C827" s="20" t="s">
        <v>32</v>
      </c>
      <c r="D827" s="77" t="s">
        <v>363</v>
      </c>
      <c r="E827" s="77"/>
      <c r="F827" s="47"/>
    </row>
    <row r="828" spans="1:6" ht="30" hidden="1" customHeight="1" outlineLevel="1" x14ac:dyDescent="0.35">
      <c r="A828" s="16"/>
      <c r="B828" s="17" t="s">
        <v>274</v>
      </c>
      <c r="C828" s="81" t="s">
        <v>18</v>
      </c>
      <c r="D828" s="81">
        <v>5</v>
      </c>
      <c r="E828" s="18"/>
      <c r="F828" s="47"/>
    </row>
    <row r="829" spans="1:6" ht="31" customHeight="1" collapsed="1" x14ac:dyDescent="0.35">
      <c r="A829" s="63">
        <f>A827+1</f>
        <v>363</v>
      </c>
      <c r="B829" s="14" t="s">
        <v>44</v>
      </c>
      <c r="C829" s="21" t="s">
        <v>31</v>
      </c>
      <c r="D829" s="15" t="s">
        <v>375</v>
      </c>
      <c r="E829" s="15"/>
      <c r="F829" s="47"/>
    </row>
    <row r="830" spans="1:6" ht="30" hidden="1" customHeight="1" outlineLevel="1" x14ac:dyDescent="0.35">
      <c r="A830" s="16"/>
      <c r="B830" s="17" t="s">
        <v>272</v>
      </c>
      <c r="C830" s="81" t="s">
        <v>18</v>
      </c>
      <c r="D830" s="83">
        <v>58</v>
      </c>
      <c r="E830" s="18"/>
      <c r="F830" s="47"/>
    </row>
    <row r="831" spans="1:6" ht="30" hidden="1" customHeight="1" outlineLevel="1" x14ac:dyDescent="0.35">
      <c r="A831" s="16"/>
      <c r="B831" s="17" t="s">
        <v>273</v>
      </c>
      <c r="C831" s="81" t="s">
        <v>18</v>
      </c>
      <c r="D831" s="83">
        <v>290</v>
      </c>
      <c r="E831" s="18"/>
      <c r="F831" s="47"/>
    </row>
    <row r="832" spans="1:6" ht="30" customHeight="1" collapsed="1" x14ac:dyDescent="0.35">
      <c r="A832" s="63">
        <f>A829+1</f>
        <v>364</v>
      </c>
      <c r="B832" s="19" t="s">
        <v>43</v>
      </c>
      <c r="C832" s="20" t="s">
        <v>32</v>
      </c>
      <c r="D832" s="77" t="s">
        <v>365</v>
      </c>
      <c r="E832" s="77"/>
      <c r="F832" s="47"/>
    </row>
    <row r="833" spans="1:28" ht="30" hidden="1" customHeight="1" outlineLevel="1" x14ac:dyDescent="0.35">
      <c r="A833" s="16"/>
      <c r="B833" s="17" t="s">
        <v>364</v>
      </c>
      <c r="C833" s="81" t="s">
        <v>18</v>
      </c>
      <c r="D833" s="81">
        <v>3</v>
      </c>
      <c r="E833" s="18"/>
      <c r="F833" s="47"/>
    </row>
    <row r="834" spans="1:28" ht="31" customHeight="1" collapsed="1" x14ac:dyDescent="0.35">
      <c r="A834" s="63">
        <f>A832+1</f>
        <v>365</v>
      </c>
      <c r="B834" s="14" t="s">
        <v>29</v>
      </c>
      <c r="C834" s="21" t="s">
        <v>31</v>
      </c>
      <c r="D834" s="15" t="s">
        <v>376</v>
      </c>
      <c r="E834" s="15"/>
      <c r="F834" s="47"/>
    </row>
    <row r="835" spans="1:28" ht="30" hidden="1" customHeight="1" outlineLevel="1" x14ac:dyDescent="0.35">
      <c r="A835" s="16"/>
      <c r="B835" s="17" t="s">
        <v>30</v>
      </c>
      <c r="C835" s="81" t="s">
        <v>18</v>
      </c>
      <c r="D835" s="83">
        <v>58</v>
      </c>
      <c r="E835" s="18"/>
      <c r="F835" s="47"/>
    </row>
    <row r="836" spans="1:28" ht="30" hidden="1" customHeight="1" outlineLevel="1" x14ac:dyDescent="0.35">
      <c r="A836" s="16"/>
      <c r="B836" s="17" t="s">
        <v>366</v>
      </c>
      <c r="C836" s="81" t="s">
        <v>18</v>
      </c>
      <c r="D836" s="83">
        <v>290</v>
      </c>
      <c r="E836" s="18"/>
      <c r="F836" s="47"/>
    </row>
    <row r="837" spans="1:28" ht="30" customHeight="1" collapsed="1" x14ac:dyDescent="0.35">
      <c r="A837" s="63">
        <f>A834+1</f>
        <v>366</v>
      </c>
      <c r="B837" s="19" t="s">
        <v>33</v>
      </c>
      <c r="C837" s="20" t="s">
        <v>32</v>
      </c>
      <c r="D837" s="77" t="s">
        <v>367</v>
      </c>
      <c r="E837" s="77"/>
      <c r="F837" s="47"/>
    </row>
    <row r="838" spans="1:28" ht="30" hidden="1" customHeight="1" outlineLevel="1" x14ac:dyDescent="0.35">
      <c r="A838" s="16"/>
      <c r="B838" s="17" t="s">
        <v>370</v>
      </c>
      <c r="C838" s="81" t="s">
        <v>18</v>
      </c>
      <c r="D838" s="81">
        <v>3</v>
      </c>
      <c r="E838" s="18"/>
      <c r="F838" s="47"/>
    </row>
    <row r="839" spans="1:28" s="46" customFormat="1" ht="21" customHeight="1" collapsed="1" x14ac:dyDescent="0.35">
      <c r="A839" s="115" t="s">
        <v>371</v>
      </c>
      <c r="B839" s="115"/>
      <c r="C839" s="115"/>
      <c r="D839" s="115"/>
      <c r="E839" s="115"/>
      <c r="F839" s="41"/>
      <c r="G839" s="42"/>
      <c r="H839" s="43"/>
      <c r="I839" s="44"/>
      <c r="J839" s="44"/>
      <c r="K839" s="45"/>
      <c r="L839" s="45"/>
      <c r="M839" s="45"/>
      <c r="N839" s="43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  <c r="AA839" s="45"/>
      <c r="AB839" s="45"/>
    </row>
    <row r="840" spans="1:28" s="24" customFormat="1" ht="30.9" x14ac:dyDescent="0.4">
      <c r="A840" s="63">
        <f>A837+1</f>
        <v>367</v>
      </c>
      <c r="B840" s="19" t="s">
        <v>465</v>
      </c>
      <c r="C840" s="20" t="s">
        <v>23</v>
      </c>
      <c r="D840" s="64">
        <f>2.1+6+1.4+2.46+4.5+4.5+5.2+0.85+0.64+1.54+0.5+0.5</f>
        <v>30.19</v>
      </c>
      <c r="E840" s="70" t="s">
        <v>265</v>
      </c>
      <c r="F840" s="25"/>
    </row>
    <row r="841" spans="1:28" s="24" customFormat="1" ht="30.9" hidden="1" outlineLevel="1" x14ac:dyDescent="0.4">
      <c r="A841" s="26"/>
      <c r="B841" s="17" t="s">
        <v>258</v>
      </c>
      <c r="C841" s="81" t="s">
        <v>16</v>
      </c>
      <c r="D841" s="67">
        <f>30.2*2.76*1.1/1000</f>
        <v>9.1687199999999996E-2</v>
      </c>
      <c r="E841" s="67"/>
      <c r="F841" s="25"/>
    </row>
    <row r="842" spans="1:28" s="24" customFormat="1" ht="30" hidden="1" customHeight="1" outlineLevel="1" x14ac:dyDescent="0.4">
      <c r="A842" s="26"/>
      <c r="B842" s="17" t="s">
        <v>355</v>
      </c>
      <c r="C842" s="81" t="s">
        <v>18</v>
      </c>
      <c r="D842" s="83">
        <v>6</v>
      </c>
      <c r="E842" s="67">
        <v>2E-3</v>
      </c>
      <c r="F842" s="25"/>
    </row>
    <row r="843" spans="1:28" s="24" customFormat="1" ht="30.9" collapsed="1" x14ac:dyDescent="0.4">
      <c r="A843" s="63">
        <f>A840+1</f>
        <v>368</v>
      </c>
      <c r="B843" s="19" t="s">
        <v>424</v>
      </c>
      <c r="C843" s="20" t="s">
        <v>23</v>
      </c>
      <c r="D843" s="64">
        <f>2.1+6+1.4+2.46+4.5+4.5+5.2+6.5+3+3</f>
        <v>38.659999999999997</v>
      </c>
      <c r="E843" s="70" t="s">
        <v>265</v>
      </c>
      <c r="F843" s="25"/>
    </row>
    <row r="844" spans="1:28" s="24" customFormat="1" ht="30.9" hidden="1" outlineLevel="1" x14ac:dyDescent="0.4">
      <c r="A844" s="26"/>
      <c r="B844" s="17" t="s">
        <v>148</v>
      </c>
      <c r="C844" s="81" t="s">
        <v>16</v>
      </c>
      <c r="D844" s="67">
        <f>38.7*5.23*1.1/1000</f>
        <v>0.22264110000000006</v>
      </c>
      <c r="E844" s="67"/>
      <c r="F844" s="25"/>
    </row>
    <row r="845" spans="1:28" s="24" customFormat="1" ht="30" hidden="1" customHeight="1" outlineLevel="1" x14ac:dyDescent="0.4">
      <c r="A845" s="26"/>
      <c r="B845" s="17" t="s">
        <v>126</v>
      </c>
      <c r="C845" s="81" t="s">
        <v>18</v>
      </c>
      <c r="D845" s="83">
        <v>5</v>
      </c>
      <c r="E845" s="67">
        <v>1E-3</v>
      </c>
      <c r="F845" s="25"/>
    </row>
    <row r="846" spans="1:28" s="24" customFormat="1" ht="30.9" collapsed="1" x14ac:dyDescent="0.4">
      <c r="A846" s="63">
        <f>A843+1</f>
        <v>369</v>
      </c>
      <c r="B846" s="19" t="s">
        <v>435</v>
      </c>
      <c r="C846" s="20" t="s">
        <v>23</v>
      </c>
      <c r="D846" s="64">
        <f>0.956+2.46+4.5+4.5+5.2+6.5+2+3+6.5+5.5</f>
        <v>41.116</v>
      </c>
      <c r="E846" s="70" t="s">
        <v>265</v>
      </c>
      <c r="F846" s="25"/>
    </row>
    <row r="847" spans="1:28" s="24" customFormat="1" ht="30.9" hidden="1" outlineLevel="1" x14ac:dyDescent="0.4">
      <c r="A847" s="26"/>
      <c r="B847" s="17" t="s">
        <v>207</v>
      </c>
      <c r="C847" s="81" t="s">
        <v>16</v>
      </c>
      <c r="D847" s="67">
        <f>41.1*12.28*1.1/1000</f>
        <v>0.55517879999999997</v>
      </c>
      <c r="E847" s="67"/>
      <c r="F847" s="25"/>
    </row>
    <row r="848" spans="1:28" s="24" customFormat="1" ht="30" hidden="1" customHeight="1" outlineLevel="1" x14ac:dyDescent="0.4">
      <c r="A848" s="26"/>
      <c r="B848" s="17" t="s">
        <v>127</v>
      </c>
      <c r="C848" s="81" t="s">
        <v>18</v>
      </c>
      <c r="D848" s="83">
        <v>10</v>
      </c>
      <c r="E848" s="67">
        <v>2.3E-2</v>
      </c>
      <c r="F848" s="25"/>
    </row>
    <row r="849" spans="1:6" s="24" customFormat="1" ht="30" hidden="1" customHeight="1" outlineLevel="1" x14ac:dyDescent="0.4">
      <c r="A849" s="26"/>
      <c r="B849" s="17" t="s">
        <v>208</v>
      </c>
      <c r="C849" s="81" t="s">
        <v>18</v>
      </c>
      <c r="D849" s="83">
        <v>4</v>
      </c>
      <c r="E849" s="67">
        <v>8.0000000000000002E-3</v>
      </c>
      <c r="F849" s="25"/>
    </row>
    <row r="850" spans="1:6" s="24" customFormat="1" ht="30" hidden="1" customHeight="1" outlineLevel="1" x14ac:dyDescent="0.4">
      <c r="A850" s="26"/>
      <c r="B850" s="17" t="s">
        <v>368</v>
      </c>
      <c r="C850" s="81" t="s">
        <v>18</v>
      </c>
      <c r="D850" s="83">
        <v>1</v>
      </c>
      <c r="E850" s="67">
        <v>1E-3</v>
      </c>
      <c r="F850" s="25"/>
    </row>
    <row r="851" spans="1:6" s="24" customFormat="1" ht="30.9" collapsed="1" x14ac:dyDescent="0.4">
      <c r="A851" s="63">
        <f>A846+1</f>
        <v>370</v>
      </c>
      <c r="B851" s="19" t="s">
        <v>436</v>
      </c>
      <c r="C851" s="20" t="s">
        <v>23</v>
      </c>
      <c r="D851" s="64">
        <f>0.5+5+6+6+6+6+6+6+6+3.5+2.5+4</f>
        <v>57.5</v>
      </c>
      <c r="E851" s="70" t="s">
        <v>265</v>
      </c>
      <c r="F851" s="25"/>
    </row>
    <row r="852" spans="1:6" s="24" customFormat="1" ht="30.9" hidden="1" outlineLevel="1" x14ac:dyDescent="0.4">
      <c r="A852" s="26"/>
      <c r="B852" s="17" t="s">
        <v>356</v>
      </c>
      <c r="C852" s="81" t="s">
        <v>16</v>
      </c>
      <c r="D852" s="67">
        <f>57.2*12.28*1.1/1000</f>
        <v>0.77265760000000017</v>
      </c>
      <c r="E852" s="67"/>
      <c r="F852" s="25"/>
    </row>
    <row r="853" spans="1:6" s="24" customFormat="1" ht="30" hidden="1" customHeight="1" outlineLevel="1" x14ac:dyDescent="0.4">
      <c r="A853" s="26"/>
      <c r="B853" s="17" t="s">
        <v>128</v>
      </c>
      <c r="C853" s="81" t="s">
        <v>18</v>
      </c>
      <c r="D853" s="83">
        <v>10</v>
      </c>
      <c r="E853" s="67">
        <v>3.7999999999999999E-2</v>
      </c>
      <c r="F853" s="25"/>
    </row>
    <row r="854" spans="1:6" s="24" customFormat="1" ht="30" hidden="1" customHeight="1" outlineLevel="1" x14ac:dyDescent="0.4">
      <c r="A854" s="26"/>
      <c r="B854" s="17" t="s">
        <v>208</v>
      </c>
      <c r="C854" s="81" t="s">
        <v>18</v>
      </c>
      <c r="D854" s="83">
        <v>7</v>
      </c>
      <c r="E854" s="67">
        <v>0.03</v>
      </c>
      <c r="F854" s="25"/>
    </row>
    <row r="855" spans="1:6" s="24" customFormat="1" ht="30" hidden="1" customHeight="1" outlineLevel="1" x14ac:dyDescent="0.4">
      <c r="A855" s="26"/>
      <c r="B855" s="17" t="s">
        <v>369</v>
      </c>
      <c r="C855" s="81" t="s">
        <v>18</v>
      </c>
      <c r="D855" s="83">
        <v>1</v>
      </c>
      <c r="E855" s="67">
        <v>1E-3</v>
      </c>
      <c r="F855" s="25"/>
    </row>
    <row r="856" spans="1:6" s="24" customFormat="1" ht="30" customHeight="1" collapsed="1" x14ac:dyDescent="0.4">
      <c r="A856" s="63">
        <f>A851+1</f>
        <v>371</v>
      </c>
      <c r="B856" s="19" t="s">
        <v>132</v>
      </c>
      <c r="C856" s="20" t="s">
        <v>21</v>
      </c>
      <c r="D856" s="77" t="s">
        <v>372</v>
      </c>
      <c r="E856" s="77"/>
      <c r="F856" s="25"/>
    </row>
    <row r="857" spans="1:6" s="24" customFormat="1" ht="30" hidden="1" customHeight="1" outlineLevel="1" x14ac:dyDescent="0.4">
      <c r="A857" s="26"/>
      <c r="B857" s="17" t="s">
        <v>358</v>
      </c>
      <c r="C857" s="81" t="s">
        <v>18</v>
      </c>
      <c r="D857" s="83">
        <v>14</v>
      </c>
      <c r="E857" s="67">
        <v>1.4999999999999999E-2</v>
      </c>
      <c r="F857" s="25"/>
    </row>
    <row r="858" spans="1:6" s="24" customFormat="1" ht="30" hidden="1" customHeight="1" outlineLevel="1" x14ac:dyDescent="0.4">
      <c r="A858" s="26"/>
      <c r="B858" s="17" t="s">
        <v>150</v>
      </c>
      <c r="C858" s="81" t="s">
        <v>18</v>
      </c>
      <c r="D858" s="83">
        <v>16</v>
      </c>
      <c r="E858" s="67">
        <v>3.4000000000000002E-2</v>
      </c>
      <c r="F858" s="25"/>
    </row>
    <row r="859" spans="1:6" s="24" customFormat="1" ht="30" hidden="1" customHeight="1" outlineLevel="1" x14ac:dyDescent="0.4">
      <c r="A859" s="26"/>
      <c r="B859" s="17" t="s">
        <v>133</v>
      </c>
      <c r="C859" s="81" t="s">
        <v>18</v>
      </c>
      <c r="D859" s="83">
        <v>12</v>
      </c>
      <c r="E859" s="67">
        <v>2.5999999999999999E-2</v>
      </c>
      <c r="F859" s="25"/>
    </row>
    <row r="860" spans="1:6" s="24" customFormat="1" ht="30" hidden="1" customHeight="1" outlineLevel="1" x14ac:dyDescent="0.4">
      <c r="A860" s="26"/>
      <c r="B860" s="17" t="s">
        <v>210</v>
      </c>
      <c r="C860" s="81" t="s">
        <v>18</v>
      </c>
      <c r="D860" s="83">
        <v>14</v>
      </c>
      <c r="E860" s="67">
        <v>7.5999999999999998E-2</v>
      </c>
      <c r="F860" s="25"/>
    </row>
    <row r="861" spans="1:6" ht="36" customHeight="1" collapsed="1" x14ac:dyDescent="0.35">
      <c r="A861" s="63">
        <f>A856+1</f>
        <v>372</v>
      </c>
      <c r="B861" s="19" t="s">
        <v>34</v>
      </c>
      <c r="C861" s="15" t="s">
        <v>19</v>
      </c>
      <c r="D861" s="23">
        <f>((0.032*3.14*30.2)+(0.057*3.14*38.7)+(0.089*3.14*41.1)+(0.114*3.14*57.5))*1.1</f>
        <v>46.232480800000005</v>
      </c>
      <c r="E861" s="15"/>
      <c r="F861" s="47"/>
    </row>
    <row r="862" spans="1:6" ht="36" customHeight="1" x14ac:dyDescent="0.35">
      <c r="A862" s="63">
        <f>A861+1</f>
        <v>373</v>
      </c>
      <c r="B862" s="19" t="s">
        <v>51</v>
      </c>
      <c r="C862" s="15" t="s">
        <v>19</v>
      </c>
      <c r="D862" s="23">
        <f>((0.032*3.14*30.2)+(0.057*3.14*38.7)+(0.089*3.14*41.1)+(0.114*3.14*57.5))*1.1</f>
        <v>46.232480800000005</v>
      </c>
      <c r="E862" s="15"/>
      <c r="F862" s="47"/>
    </row>
    <row r="863" spans="1:6" ht="36" customHeight="1" x14ac:dyDescent="0.35">
      <c r="A863" s="63">
        <f>A862+1</f>
        <v>374</v>
      </c>
      <c r="B863" s="19" t="s">
        <v>52</v>
      </c>
      <c r="C863" s="15" t="s">
        <v>19</v>
      </c>
      <c r="D863" s="23">
        <f>((0.032*3.14*30.2)+(0.057*3.14*38.7)+(0.089*3.14*41.1)+(0.114*3.14*57.5))*1.1</f>
        <v>46.232480800000005</v>
      </c>
      <c r="E863" s="15"/>
      <c r="F863" s="47"/>
    </row>
    <row r="864" spans="1:6" s="24" customFormat="1" ht="30" customHeight="1" x14ac:dyDescent="0.4">
      <c r="A864" s="63">
        <f>A863+1</f>
        <v>375</v>
      </c>
      <c r="B864" s="19" t="s">
        <v>89</v>
      </c>
      <c r="C864" s="20" t="s">
        <v>19</v>
      </c>
      <c r="D864" s="23">
        <f>((0.032*3.14*30.2)+(0.057*3.14*38.7)+(0.089*3.14*41.1)+(0.114*3.14*57.5))*1.1</f>
        <v>46.232480800000005</v>
      </c>
      <c r="E864" s="77"/>
      <c r="F864" s="25"/>
    </row>
    <row r="865" spans="1:6" s="24" customFormat="1" ht="30" hidden="1" customHeight="1" outlineLevel="1" x14ac:dyDescent="0.4">
      <c r="A865" s="26"/>
      <c r="B865" s="17" t="s">
        <v>88</v>
      </c>
      <c r="C865" s="81" t="s">
        <v>25</v>
      </c>
      <c r="D865" s="82">
        <f>46.23*2*0.36</f>
        <v>33.285599999999995</v>
      </c>
      <c r="E865" s="81">
        <v>3.3000000000000002E-2</v>
      </c>
      <c r="F865" s="25"/>
    </row>
    <row r="866" spans="1:6" ht="31" customHeight="1" collapsed="1" x14ac:dyDescent="0.35">
      <c r="A866" s="63">
        <f>A864+1</f>
        <v>376</v>
      </c>
      <c r="B866" s="14" t="s">
        <v>278</v>
      </c>
      <c r="C866" s="21" t="s">
        <v>31</v>
      </c>
      <c r="D866" s="15" t="s">
        <v>380</v>
      </c>
      <c r="E866" s="15"/>
      <c r="F866" s="47"/>
    </row>
    <row r="867" spans="1:6" ht="30" hidden="1" customHeight="1" outlineLevel="1" x14ac:dyDescent="0.35">
      <c r="A867" s="16"/>
      <c r="B867" s="17" t="s">
        <v>268</v>
      </c>
      <c r="C867" s="81" t="s">
        <v>18</v>
      </c>
      <c r="D867" s="83">
        <v>30</v>
      </c>
      <c r="E867" s="18"/>
      <c r="F867" s="47"/>
    </row>
    <row r="868" spans="1:6" ht="30" hidden="1" customHeight="1" outlineLevel="1" x14ac:dyDescent="0.35">
      <c r="A868" s="16"/>
      <c r="B868" s="17" t="s">
        <v>269</v>
      </c>
      <c r="C868" s="81" t="s">
        <v>18</v>
      </c>
      <c r="D868" s="83">
        <v>8</v>
      </c>
      <c r="E868" s="18"/>
      <c r="F868" s="47"/>
    </row>
    <row r="869" spans="1:6" ht="30" customHeight="1" collapsed="1" x14ac:dyDescent="0.35">
      <c r="A869" s="63">
        <f>A866+1</f>
        <v>377</v>
      </c>
      <c r="B869" s="19" t="s">
        <v>360</v>
      </c>
      <c r="C869" s="20" t="s">
        <v>32</v>
      </c>
      <c r="D869" s="77" t="s">
        <v>361</v>
      </c>
      <c r="E869" s="77"/>
      <c r="F869" s="47"/>
    </row>
    <row r="870" spans="1:6" ht="30" hidden="1" customHeight="1" outlineLevel="1" x14ac:dyDescent="0.35">
      <c r="A870" s="16"/>
      <c r="B870" s="17" t="s">
        <v>362</v>
      </c>
      <c r="C870" s="81" t="s">
        <v>18</v>
      </c>
      <c r="D870" s="81">
        <v>6</v>
      </c>
      <c r="E870" s="18"/>
      <c r="F870" s="47"/>
    </row>
    <row r="871" spans="1:6" ht="31" customHeight="1" collapsed="1" x14ac:dyDescent="0.35">
      <c r="A871" s="63">
        <f>A869+1</f>
        <v>378</v>
      </c>
      <c r="B871" s="14" t="s">
        <v>42</v>
      </c>
      <c r="C871" s="21" t="s">
        <v>31</v>
      </c>
      <c r="D871" s="15" t="s">
        <v>379</v>
      </c>
      <c r="E871" s="15"/>
      <c r="F871" s="47"/>
    </row>
    <row r="872" spans="1:6" ht="30" hidden="1" customHeight="1" outlineLevel="1" x14ac:dyDescent="0.35">
      <c r="A872" s="16"/>
      <c r="B872" s="17" t="s">
        <v>270</v>
      </c>
      <c r="C872" s="81" t="s">
        <v>18</v>
      </c>
      <c r="D872" s="83">
        <v>39</v>
      </c>
      <c r="E872" s="18"/>
      <c r="F872" s="47"/>
    </row>
    <row r="873" spans="1:6" ht="30" hidden="1" customHeight="1" outlineLevel="1" x14ac:dyDescent="0.35">
      <c r="A873" s="16"/>
      <c r="B873" s="17" t="s">
        <v>271</v>
      </c>
      <c r="C873" s="81" t="s">
        <v>18</v>
      </c>
      <c r="D873" s="83">
        <v>160</v>
      </c>
      <c r="E873" s="18"/>
      <c r="F873" s="47"/>
    </row>
    <row r="874" spans="1:6" ht="30" customHeight="1" collapsed="1" x14ac:dyDescent="0.35">
      <c r="A874" s="63">
        <f>A871+1</f>
        <v>379</v>
      </c>
      <c r="B874" s="19" t="s">
        <v>277</v>
      </c>
      <c r="C874" s="20" t="s">
        <v>32</v>
      </c>
      <c r="D874" s="77" t="s">
        <v>363</v>
      </c>
      <c r="E874" s="77"/>
      <c r="F874" s="47"/>
    </row>
    <row r="875" spans="1:6" ht="30" hidden="1" customHeight="1" outlineLevel="1" x14ac:dyDescent="0.35">
      <c r="A875" s="16"/>
      <c r="B875" s="17" t="s">
        <v>274</v>
      </c>
      <c r="C875" s="81" t="s">
        <v>18</v>
      </c>
      <c r="D875" s="81">
        <v>5</v>
      </c>
      <c r="E875" s="18"/>
      <c r="F875" s="47"/>
    </row>
    <row r="876" spans="1:6" ht="31" customHeight="1" collapsed="1" x14ac:dyDescent="0.35">
      <c r="A876" s="63">
        <f>A874+1</f>
        <v>380</v>
      </c>
      <c r="B876" s="14" t="s">
        <v>44</v>
      </c>
      <c r="C876" s="21" t="s">
        <v>31</v>
      </c>
      <c r="D876" s="15" t="s">
        <v>378</v>
      </c>
      <c r="E876" s="15"/>
      <c r="F876" s="47"/>
    </row>
    <row r="877" spans="1:6" ht="30" hidden="1" customHeight="1" outlineLevel="1" x14ac:dyDescent="0.35">
      <c r="A877" s="16"/>
      <c r="B877" s="17" t="s">
        <v>272</v>
      </c>
      <c r="C877" s="81" t="s">
        <v>18</v>
      </c>
      <c r="D877" s="83">
        <v>42</v>
      </c>
      <c r="E877" s="18"/>
      <c r="F877" s="47"/>
    </row>
    <row r="878" spans="1:6" ht="30" hidden="1" customHeight="1" outlineLevel="1" x14ac:dyDescent="0.35">
      <c r="A878" s="16"/>
      <c r="B878" s="17" t="s">
        <v>273</v>
      </c>
      <c r="C878" s="81" t="s">
        <v>18</v>
      </c>
      <c r="D878" s="83">
        <v>290</v>
      </c>
      <c r="E878" s="18"/>
      <c r="F878" s="47"/>
    </row>
    <row r="879" spans="1:6" ht="30" customHeight="1" collapsed="1" x14ac:dyDescent="0.35">
      <c r="A879" s="63">
        <f>A876+1</f>
        <v>381</v>
      </c>
      <c r="B879" s="19" t="s">
        <v>43</v>
      </c>
      <c r="C879" s="20" t="s">
        <v>32</v>
      </c>
      <c r="D879" s="77" t="s">
        <v>365</v>
      </c>
      <c r="E879" s="77"/>
      <c r="F879" s="47"/>
    </row>
    <row r="880" spans="1:6" ht="30" hidden="1" customHeight="1" outlineLevel="1" x14ac:dyDescent="0.35">
      <c r="A880" s="16"/>
      <c r="B880" s="17" t="s">
        <v>364</v>
      </c>
      <c r="C880" s="81" t="s">
        <v>18</v>
      </c>
      <c r="D880" s="81">
        <v>10</v>
      </c>
      <c r="E880" s="18"/>
      <c r="F880" s="47"/>
    </row>
    <row r="881" spans="1:28" ht="31" customHeight="1" collapsed="1" x14ac:dyDescent="0.35">
      <c r="A881" s="63">
        <f>A879+1</f>
        <v>382</v>
      </c>
      <c r="B881" s="14" t="s">
        <v>29</v>
      </c>
      <c r="C881" s="21" t="s">
        <v>31</v>
      </c>
      <c r="D881" s="15" t="s">
        <v>377</v>
      </c>
      <c r="E881" s="15"/>
      <c r="F881" s="47"/>
    </row>
    <row r="882" spans="1:28" ht="30" hidden="1" customHeight="1" outlineLevel="1" x14ac:dyDescent="0.35">
      <c r="A882" s="16"/>
      <c r="B882" s="17" t="s">
        <v>30</v>
      </c>
      <c r="C882" s="81" t="s">
        <v>18</v>
      </c>
      <c r="D882" s="83">
        <v>58</v>
      </c>
      <c r="E882" s="18"/>
      <c r="F882" s="47"/>
    </row>
    <row r="883" spans="1:28" ht="30" hidden="1" customHeight="1" outlineLevel="1" x14ac:dyDescent="0.35">
      <c r="A883" s="16"/>
      <c r="B883" s="17" t="s">
        <v>366</v>
      </c>
      <c r="C883" s="81" t="s">
        <v>18</v>
      </c>
      <c r="D883" s="83">
        <v>290</v>
      </c>
      <c r="E883" s="18"/>
      <c r="F883" s="47"/>
    </row>
    <row r="884" spans="1:28" ht="30" customHeight="1" collapsed="1" x14ac:dyDescent="0.35">
      <c r="A884" s="63">
        <f>A881+1</f>
        <v>383</v>
      </c>
      <c r="B884" s="19" t="s">
        <v>43</v>
      </c>
      <c r="C884" s="20" t="s">
        <v>32</v>
      </c>
      <c r="D884" s="77" t="s">
        <v>367</v>
      </c>
      <c r="E884" s="77"/>
      <c r="F884" s="47"/>
    </row>
    <row r="885" spans="1:28" ht="30" hidden="1" customHeight="1" outlineLevel="1" x14ac:dyDescent="0.35">
      <c r="A885" s="16"/>
      <c r="B885" s="17" t="s">
        <v>370</v>
      </c>
      <c r="C885" s="81" t="s">
        <v>18</v>
      </c>
      <c r="D885" s="81">
        <v>3</v>
      </c>
      <c r="E885" s="18"/>
      <c r="F885" s="47"/>
    </row>
    <row r="886" spans="1:28" s="46" customFormat="1" ht="21" customHeight="1" collapsed="1" x14ac:dyDescent="0.35">
      <c r="A886" s="115" t="s">
        <v>381</v>
      </c>
      <c r="B886" s="115"/>
      <c r="C886" s="115"/>
      <c r="D886" s="115"/>
      <c r="E886" s="115"/>
      <c r="F886" s="41"/>
      <c r="G886" s="42"/>
      <c r="H886" s="43"/>
      <c r="I886" s="44"/>
      <c r="J886" s="44"/>
      <c r="K886" s="45"/>
      <c r="L886" s="45"/>
      <c r="M886" s="45"/>
      <c r="N886" s="43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  <c r="AA886" s="45"/>
      <c r="AB886" s="45"/>
    </row>
    <row r="887" spans="1:28" s="24" customFormat="1" ht="30.9" x14ac:dyDescent="0.4">
      <c r="A887" s="63">
        <f>A884+1</f>
        <v>384</v>
      </c>
      <c r="B887" s="19" t="s">
        <v>424</v>
      </c>
      <c r="C887" s="20" t="s">
        <v>23</v>
      </c>
      <c r="D887" s="64">
        <f>1.56+5+5+4.85+4.53+6+6+6+3+5.74+3+3.2+1.5+5+1.83</f>
        <v>62.21</v>
      </c>
      <c r="E887" s="70" t="s">
        <v>265</v>
      </c>
      <c r="F887" s="25"/>
    </row>
    <row r="888" spans="1:28" s="24" customFormat="1" ht="30.9" hidden="1" outlineLevel="1" x14ac:dyDescent="0.4">
      <c r="A888" s="26"/>
      <c r="B888" s="17" t="s">
        <v>148</v>
      </c>
      <c r="C888" s="81" t="s">
        <v>16</v>
      </c>
      <c r="D888" s="67">
        <f>62.2*5.23*1.1/1000</f>
        <v>0.35783660000000012</v>
      </c>
      <c r="E888" s="67"/>
      <c r="F888" s="25"/>
    </row>
    <row r="889" spans="1:28" s="24" customFormat="1" ht="30" hidden="1" customHeight="1" outlineLevel="1" x14ac:dyDescent="0.4">
      <c r="A889" s="26"/>
      <c r="B889" s="17" t="s">
        <v>126</v>
      </c>
      <c r="C889" s="81" t="s">
        <v>18</v>
      </c>
      <c r="D889" s="83">
        <v>9</v>
      </c>
      <c r="E889" s="67">
        <v>6.0000000000000001E-3</v>
      </c>
      <c r="F889" s="25"/>
    </row>
    <row r="890" spans="1:28" s="24" customFormat="1" ht="30" customHeight="1" collapsed="1" x14ac:dyDescent="0.4">
      <c r="A890" s="63">
        <f>A887+1</f>
        <v>385</v>
      </c>
      <c r="B890" s="19" t="s">
        <v>132</v>
      </c>
      <c r="C890" s="20" t="s">
        <v>21</v>
      </c>
      <c r="D890" s="77" t="s">
        <v>382</v>
      </c>
      <c r="E890" s="77"/>
      <c r="F890" s="25"/>
    </row>
    <row r="891" spans="1:28" s="24" customFormat="1" ht="30" hidden="1" customHeight="1" outlineLevel="1" x14ac:dyDescent="0.4">
      <c r="A891" s="26"/>
      <c r="B891" s="17" t="s">
        <v>150</v>
      </c>
      <c r="C891" s="81" t="s">
        <v>18</v>
      </c>
      <c r="D891" s="83">
        <v>22</v>
      </c>
      <c r="E891" s="67">
        <v>3.4000000000000002E-2</v>
      </c>
      <c r="F891" s="25"/>
    </row>
    <row r="892" spans="1:28" ht="36" customHeight="1" collapsed="1" x14ac:dyDescent="0.35">
      <c r="A892" s="63">
        <f>A890+1</f>
        <v>386</v>
      </c>
      <c r="B892" s="19" t="s">
        <v>34</v>
      </c>
      <c r="C892" s="15" t="s">
        <v>19</v>
      </c>
      <c r="D892" s="23">
        <f>((0.032*3.14*30.2)+(0.057*3.14*38.7)+(0.089*3.14*41.1)+(0.114*3.14*57.5))*1.1</f>
        <v>46.232480800000005</v>
      </c>
      <c r="E892" s="15"/>
      <c r="F892" s="47"/>
    </row>
    <row r="893" spans="1:28" ht="36" customHeight="1" x14ac:dyDescent="0.35">
      <c r="A893" s="63">
        <f>A892+1</f>
        <v>387</v>
      </c>
      <c r="B893" s="19" t="s">
        <v>51</v>
      </c>
      <c r="C893" s="15" t="s">
        <v>19</v>
      </c>
      <c r="D893" s="23">
        <f>((0.032*3.14*30.2)+(0.057*3.14*38.7)+(0.089*3.14*41.1)+(0.114*3.14*57.5))*1.1</f>
        <v>46.232480800000005</v>
      </c>
      <c r="E893" s="15"/>
      <c r="F893" s="47"/>
    </row>
    <row r="894" spans="1:28" ht="36" customHeight="1" x14ac:dyDescent="0.35">
      <c r="A894" s="63">
        <f>A893+1</f>
        <v>388</v>
      </c>
      <c r="B894" s="19" t="s">
        <v>52</v>
      </c>
      <c r="C894" s="15" t="s">
        <v>19</v>
      </c>
      <c r="D894" s="23">
        <f>((0.032*3.14*30.2)+(0.057*3.14*38.7)+(0.089*3.14*41.1)+(0.114*3.14*57.5))*1.1</f>
        <v>46.232480800000005</v>
      </c>
      <c r="E894" s="15"/>
      <c r="F894" s="47"/>
    </row>
    <row r="895" spans="1:28" s="24" customFormat="1" ht="30" customHeight="1" x14ac:dyDescent="0.4">
      <c r="A895" s="63">
        <f>A894+1</f>
        <v>389</v>
      </c>
      <c r="B895" s="19" t="s">
        <v>89</v>
      </c>
      <c r="C895" s="20" t="s">
        <v>19</v>
      </c>
      <c r="D895" s="23">
        <f>((0.032*3.14*30.2)+(0.057*3.14*38.7)+(0.089*3.14*41.1)+(0.114*3.14*57.5))*1.1</f>
        <v>46.232480800000005</v>
      </c>
      <c r="E895" s="77"/>
      <c r="F895" s="25"/>
    </row>
    <row r="896" spans="1:28" s="24" customFormat="1" ht="30" hidden="1" customHeight="1" outlineLevel="1" x14ac:dyDescent="0.4">
      <c r="A896" s="26"/>
      <c r="B896" s="17" t="s">
        <v>88</v>
      </c>
      <c r="C896" s="81" t="s">
        <v>25</v>
      </c>
      <c r="D896" s="82">
        <f>46.23*2*0.36</f>
        <v>33.285599999999995</v>
      </c>
      <c r="E896" s="81">
        <v>3.3000000000000002E-2</v>
      </c>
      <c r="F896" s="25"/>
    </row>
    <row r="897" spans="1:203" ht="31" customHeight="1" collapsed="1" x14ac:dyDescent="0.35">
      <c r="A897" s="63">
        <f>A895+1</f>
        <v>390</v>
      </c>
      <c r="B897" s="14" t="s">
        <v>42</v>
      </c>
      <c r="C897" s="21" t="s">
        <v>31</v>
      </c>
      <c r="D897" s="15" t="s">
        <v>379</v>
      </c>
      <c r="E897" s="15"/>
      <c r="F897" s="47"/>
    </row>
    <row r="898" spans="1:203" ht="30" hidden="1" customHeight="1" outlineLevel="1" x14ac:dyDescent="0.35">
      <c r="A898" s="16"/>
      <c r="B898" s="17" t="s">
        <v>270</v>
      </c>
      <c r="C898" s="81" t="s">
        <v>18</v>
      </c>
      <c r="D898" s="83">
        <v>39</v>
      </c>
      <c r="E898" s="18"/>
      <c r="F898" s="47"/>
    </row>
    <row r="899" spans="1:203" ht="30" hidden="1" customHeight="1" outlineLevel="1" x14ac:dyDescent="0.35">
      <c r="A899" s="16"/>
      <c r="B899" s="17" t="s">
        <v>271</v>
      </c>
      <c r="C899" s="81" t="s">
        <v>18</v>
      </c>
      <c r="D899" s="83">
        <v>160</v>
      </c>
      <c r="E899" s="18"/>
      <c r="F899" s="47"/>
    </row>
    <row r="900" spans="1:203" ht="30" customHeight="1" collapsed="1" x14ac:dyDescent="0.35">
      <c r="A900" s="63">
        <f>A897+1</f>
        <v>391</v>
      </c>
      <c r="B900" s="19" t="s">
        <v>277</v>
      </c>
      <c r="C900" s="20" t="s">
        <v>32</v>
      </c>
      <c r="D900" s="77" t="s">
        <v>363</v>
      </c>
      <c r="E900" s="77"/>
      <c r="F900" s="47"/>
    </row>
    <row r="901" spans="1:203" ht="30" hidden="1" customHeight="1" outlineLevel="1" x14ac:dyDescent="0.35">
      <c r="A901" s="16"/>
      <c r="B901" s="17" t="s">
        <v>274</v>
      </c>
      <c r="C901" s="81" t="s">
        <v>18</v>
      </c>
      <c r="D901" s="81">
        <v>5</v>
      </c>
      <c r="E901" s="18"/>
      <c r="F901" s="47"/>
    </row>
    <row r="902" spans="1:203" ht="30" customHeight="1" collapsed="1" x14ac:dyDescent="0.4">
      <c r="A902" s="111" t="s">
        <v>383</v>
      </c>
      <c r="B902" s="111"/>
      <c r="C902" s="111"/>
      <c r="D902" s="111"/>
      <c r="E902" s="111"/>
      <c r="F902" s="32"/>
      <c r="K902" s="32"/>
      <c r="L902" s="32"/>
      <c r="M902" s="32"/>
      <c r="O902" s="32"/>
      <c r="P902" s="32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  <c r="BC902" s="29"/>
      <c r="BD902" s="29"/>
      <c r="BE902" s="29"/>
      <c r="BF902" s="29"/>
      <c r="BG902" s="29"/>
      <c r="BH902" s="29"/>
      <c r="BI902" s="29"/>
      <c r="BJ902" s="29"/>
      <c r="BK902" s="29"/>
      <c r="BL902" s="29"/>
      <c r="BM902" s="29"/>
      <c r="BN902" s="29"/>
      <c r="BO902" s="29"/>
      <c r="BP902" s="29"/>
      <c r="BQ902" s="29"/>
      <c r="BR902" s="29"/>
      <c r="BS902" s="29"/>
      <c r="BT902" s="29"/>
      <c r="BU902" s="29"/>
      <c r="BV902" s="29"/>
      <c r="BW902" s="29"/>
      <c r="BX902" s="29"/>
      <c r="BY902" s="29"/>
      <c r="BZ902" s="29"/>
      <c r="CA902" s="29"/>
      <c r="CB902" s="29"/>
      <c r="CC902" s="29"/>
      <c r="CD902" s="29"/>
      <c r="CE902" s="29"/>
      <c r="CF902" s="29"/>
      <c r="CG902" s="29"/>
      <c r="CH902" s="29"/>
      <c r="CI902" s="29"/>
      <c r="CJ902" s="29"/>
      <c r="CK902" s="29"/>
      <c r="CL902" s="29"/>
      <c r="CM902" s="29"/>
      <c r="CN902" s="29"/>
      <c r="CO902" s="29"/>
      <c r="CP902" s="29"/>
      <c r="CQ902" s="29"/>
      <c r="CR902" s="29"/>
      <c r="CS902" s="29"/>
      <c r="CT902" s="29"/>
      <c r="CU902" s="29"/>
      <c r="CV902" s="29"/>
      <c r="CW902" s="29"/>
      <c r="CX902" s="29"/>
      <c r="CY902" s="29"/>
      <c r="CZ902" s="29"/>
      <c r="DA902" s="29"/>
      <c r="DB902" s="29"/>
      <c r="DC902" s="29"/>
      <c r="DD902" s="29"/>
      <c r="DE902" s="29"/>
      <c r="DF902" s="29"/>
      <c r="DG902" s="29"/>
      <c r="DH902" s="29"/>
      <c r="DI902" s="29"/>
      <c r="DJ902" s="29"/>
      <c r="DK902" s="29"/>
      <c r="DL902" s="29"/>
      <c r="DM902" s="29"/>
      <c r="DN902" s="29"/>
      <c r="DO902" s="29"/>
      <c r="DP902" s="29"/>
      <c r="DQ902" s="29"/>
      <c r="DR902" s="29"/>
      <c r="DS902" s="29"/>
      <c r="DT902" s="29"/>
      <c r="DU902" s="29"/>
      <c r="DV902" s="29"/>
      <c r="DW902" s="29"/>
      <c r="DX902" s="29"/>
      <c r="DY902" s="29"/>
      <c r="DZ902" s="29"/>
      <c r="EA902" s="29"/>
      <c r="EB902" s="29"/>
      <c r="EC902" s="29"/>
      <c r="ED902" s="29"/>
      <c r="EE902" s="29"/>
      <c r="EF902" s="29"/>
      <c r="EG902" s="29"/>
      <c r="EH902" s="29"/>
      <c r="EI902" s="29"/>
      <c r="EJ902" s="29"/>
      <c r="EK902" s="29"/>
      <c r="EL902" s="29"/>
      <c r="EM902" s="29"/>
      <c r="EN902" s="29"/>
      <c r="EO902" s="29"/>
      <c r="EP902" s="29"/>
      <c r="EQ902" s="29"/>
      <c r="ER902" s="29"/>
      <c r="ES902" s="29"/>
      <c r="ET902" s="29"/>
      <c r="EU902" s="29"/>
      <c r="EV902" s="29"/>
      <c r="EW902" s="29"/>
      <c r="EX902" s="29"/>
      <c r="EY902" s="29"/>
      <c r="EZ902" s="29"/>
      <c r="FA902" s="29"/>
      <c r="FB902" s="29"/>
      <c r="FC902" s="29"/>
      <c r="FD902" s="29"/>
      <c r="FE902" s="29"/>
      <c r="FF902" s="29"/>
      <c r="FG902" s="29"/>
      <c r="FH902" s="29"/>
      <c r="FI902" s="29"/>
      <c r="FJ902" s="29"/>
      <c r="FK902" s="29"/>
      <c r="FL902" s="29"/>
      <c r="FM902" s="29"/>
      <c r="FN902" s="29"/>
      <c r="FO902" s="29"/>
      <c r="FP902" s="29"/>
      <c r="FQ902" s="29"/>
      <c r="FR902" s="29"/>
      <c r="FS902" s="29"/>
      <c r="FT902" s="29"/>
      <c r="FU902" s="29"/>
      <c r="FV902" s="29"/>
      <c r="FW902" s="29"/>
      <c r="FX902" s="29"/>
      <c r="FY902" s="29"/>
      <c r="FZ902" s="29"/>
      <c r="GA902" s="29"/>
      <c r="GB902" s="29"/>
      <c r="GC902" s="29"/>
      <c r="GD902" s="29"/>
      <c r="GE902" s="29"/>
      <c r="GF902" s="29"/>
      <c r="GG902" s="29"/>
      <c r="GH902" s="29"/>
      <c r="GI902" s="29"/>
      <c r="GJ902" s="29"/>
      <c r="GK902" s="29"/>
      <c r="GL902" s="29"/>
      <c r="GM902" s="29"/>
      <c r="GN902" s="29"/>
      <c r="GO902" s="29"/>
      <c r="GP902" s="29"/>
      <c r="GQ902" s="29"/>
      <c r="GR902" s="29"/>
      <c r="GS902" s="29"/>
      <c r="GT902" s="29"/>
      <c r="GU902" s="29"/>
    </row>
    <row r="903" spans="1:203" s="88" customFormat="1" ht="45" customHeight="1" x14ac:dyDescent="0.4">
      <c r="A903" s="110" t="s">
        <v>384</v>
      </c>
      <c r="B903" s="110"/>
      <c r="C903" s="110"/>
      <c r="D903" s="110"/>
      <c r="E903" s="110"/>
      <c r="F903" s="87"/>
    </row>
    <row r="904" spans="1:203" s="88" customFormat="1" ht="40.5" customHeight="1" x14ac:dyDescent="0.4">
      <c r="A904" s="111" t="s">
        <v>385</v>
      </c>
      <c r="B904" s="111"/>
      <c r="C904" s="111"/>
      <c r="D904" s="111"/>
      <c r="E904" s="111"/>
      <c r="F904" s="87"/>
    </row>
    <row r="905" spans="1:203" s="24" customFormat="1" ht="27" customHeight="1" x14ac:dyDescent="0.4">
      <c r="A905" s="111" t="s">
        <v>386</v>
      </c>
      <c r="B905" s="111"/>
      <c r="C905" s="111"/>
      <c r="D905" s="111"/>
      <c r="E905" s="111"/>
      <c r="F905" s="89"/>
    </row>
    <row r="906" spans="1:203" s="88" customFormat="1" ht="43.5" customHeight="1" x14ac:dyDescent="0.4">
      <c r="A906" s="110" t="s">
        <v>387</v>
      </c>
      <c r="B906" s="110"/>
      <c r="C906" s="110"/>
      <c r="D906" s="110"/>
      <c r="E906" s="110"/>
      <c r="F906" s="87"/>
    </row>
    <row r="907" spans="1:203" s="88" customFormat="1" ht="42" customHeight="1" x14ac:dyDescent="0.4">
      <c r="A907" s="110" t="s">
        <v>388</v>
      </c>
      <c r="B907" s="110"/>
      <c r="C907" s="110"/>
      <c r="D907" s="110"/>
      <c r="E907" s="110"/>
      <c r="F907" s="87"/>
    </row>
    <row r="908" spans="1:203" s="88" customFormat="1" ht="40.5" customHeight="1" x14ac:dyDescent="0.4">
      <c r="A908" s="110" t="s">
        <v>389</v>
      </c>
      <c r="B908" s="110"/>
      <c r="C908" s="110"/>
      <c r="D908" s="110"/>
      <c r="E908" s="110"/>
      <c r="F908" s="87"/>
    </row>
    <row r="909" spans="1:203" s="88" customFormat="1" ht="40.5" customHeight="1" x14ac:dyDescent="0.4">
      <c r="A909" s="110" t="s">
        <v>396</v>
      </c>
      <c r="B909" s="110"/>
      <c r="C909" s="110"/>
      <c r="D909" s="110"/>
      <c r="E909" s="110"/>
      <c r="F909" s="87"/>
    </row>
    <row r="910" spans="1:203" s="88" customFormat="1" ht="39.75" customHeight="1" x14ac:dyDescent="0.4">
      <c r="A910" s="110" t="s">
        <v>390</v>
      </c>
      <c r="B910" s="110"/>
      <c r="C910" s="110"/>
      <c r="D910" s="110"/>
      <c r="E910" s="110"/>
      <c r="F910" s="87"/>
    </row>
    <row r="911" spans="1:203" s="88" customFormat="1" ht="31.5" customHeight="1" x14ac:dyDescent="0.4">
      <c r="A911" s="110" t="s">
        <v>397</v>
      </c>
      <c r="B911" s="110"/>
      <c r="C911" s="110"/>
      <c r="D911" s="110"/>
      <c r="E911" s="110"/>
      <c r="F911" s="87"/>
    </row>
    <row r="912" spans="1:203" s="88" customFormat="1" ht="26.25" customHeight="1" x14ac:dyDescent="0.4">
      <c r="A912" s="110" t="s">
        <v>391</v>
      </c>
      <c r="B912" s="110"/>
      <c r="C912" s="110"/>
      <c r="D912" s="110"/>
      <c r="E912" s="110"/>
      <c r="F912" s="87"/>
    </row>
    <row r="913" spans="1:203" ht="32.15" customHeight="1" x14ac:dyDescent="0.4">
      <c r="A913" s="111" t="s">
        <v>405</v>
      </c>
      <c r="B913" s="111"/>
      <c r="C913" s="111"/>
      <c r="D913" s="111"/>
      <c r="E913" s="111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  <c r="AQ913" s="29"/>
      <c r="AR913" s="29"/>
      <c r="AS913" s="29"/>
      <c r="AT913" s="29"/>
      <c r="AU913" s="29"/>
      <c r="AV913" s="29"/>
      <c r="AW913" s="29"/>
      <c r="AX913" s="29"/>
      <c r="AY913" s="29"/>
      <c r="AZ913" s="29"/>
      <c r="BA913" s="29"/>
      <c r="BB913" s="29"/>
      <c r="BC913" s="29"/>
      <c r="BD913" s="29"/>
      <c r="BE913" s="29"/>
      <c r="BF913" s="29"/>
      <c r="BG913" s="29"/>
      <c r="BH913" s="29"/>
      <c r="BI913" s="29"/>
      <c r="BJ913" s="29"/>
      <c r="BK913" s="29"/>
      <c r="BL913" s="29"/>
      <c r="BM913" s="29"/>
      <c r="BN913" s="29"/>
      <c r="BO913" s="29"/>
      <c r="BP913" s="29"/>
      <c r="BQ913" s="29"/>
      <c r="BR913" s="29"/>
      <c r="BS913" s="29"/>
      <c r="BT913" s="29"/>
      <c r="BU913" s="29"/>
      <c r="BV913" s="29"/>
      <c r="BW913" s="29"/>
      <c r="BX913" s="29"/>
      <c r="BY913" s="29"/>
      <c r="BZ913" s="29"/>
      <c r="CA913" s="29"/>
      <c r="CB913" s="29"/>
      <c r="CC913" s="29"/>
      <c r="CD913" s="29"/>
      <c r="CE913" s="29"/>
      <c r="CF913" s="29"/>
      <c r="CG913" s="29"/>
      <c r="CH913" s="29"/>
      <c r="CI913" s="29"/>
      <c r="CJ913" s="29"/>
      <c r="CK913" s="29"/>
      <c r="CL913" s="29"/>
      <c r="CM913" s="29"/>
      <c r="CN913" s="29"/>
      <c r="CO913" s="29"/>
      <c r="CP913" s="29"/>
      <c r="CQ913" s="29"/>
      <c r="CR913" s="29"/>
      <c r="CS913" s="29"/>
      <c r="CT913" s="29"/>
      <c r="CU913" s="29"/>
      <c r="CV913" s="29"/>
      <c r="CW913" s="29"/>
      <c r="CX913" s="29"/>
      <c r="CY913" s="29"/>
      <c r="CZ913" s="29"/>
      <c r="DA913" s="29"/>
      <c r="DB913" s="29"/>
      <c r="DC913" s="29"/>
      <c r="DD913" s="29"/>
      <c r="DE913" s="29"/>
      <c r="DF913" s="29"/>
      <c r="DG913" s="29"/>
      <c r="DH913" s="29"/>
      <c r="DI913" s="29"/>
      <c r="DJ913" s="29"/>
      <c r="DK913" s="29"/>
      <c r="DL913" s="29"/>
      <c r="DM913" s="29"/>
      <c r="DN913" s="29"/>
      <c r="DO913" s="29"/>
      <c r="DP913" s="29"/>
      <c r="DQ913" s="29"/>
      <c r="DR913" s="29"/>
      <c r="DS913" s="29"/>
      <c r="DT913" s="29"/>
      <c r="DU913" s="29"/>
      <c r="DV913" s="29"/>
      <c r="DW913" s="29"/>
      <c r="DX913" s="29"/>
      <c r="DY913" s="29"/>
      <c r="DZ913" s="29"/>
      <c r="EA913" s="29"/>
      <c r="EB913" s="29"/>
      <c r="EC913" s="29"/>
      <c r="ED913" s="29"/>
      <c r="EE913" s="29"/>
      <c r="EF913" s="29"/>
      <c r="EG913" s="29"/>
      <c r="EH913" s="29"/>
      <c r="EI913" s="29"/>
      <c r="EJ913" s="29"/>
      <c r="EK913" s="29"/>
      <c r="EL913" s="29"/>
      <c r="EM913" s="29"/>
      <c r="EN913" s="29"/>
      <c r="EO913" s="29"/>
      <c r="EP913" s="29"/>
      <c r="EQ913" s="29"/>
      <c r="ER913" s="29"/>
      <c r="ES913" s="29"/>
      <c r="ET913" s="29"/>
      <c r="EU913" s="29"/>
      <c r="EV913" s="29"/>
      <c r="EW913" s="29"/>
      <c r="EX913" s="29"/>
      <c r="EY913" s="29"/>
      <c r="EZ913" s="29"/>
      <c r="FA913" s="29"/>
      <c r="FB913" s="29"/>
      <c r="FC913" s="29"/>
      <c r="FD913" s="29"/>
      <c r="FE913" s="29"/>
      <c r="FF913" s="29"/>
      <c r="FG913" s="29"/>
      <c r="FH913" s="29"/>
      <c r="FI913" s="29"/>
      <c r="FJ913" s="29"/>
      <c r="FK913" s="29"/>
      <c r="FL913" s="29"/>
      <c r="FM913" s="29"/>
      <c r="FN913" s="29"/>
      <c r="FO913" s="29"/>
      <c r="FP913" s="29"/>
      <c r="FQ913" s="29"/>
      <c r="FR913" s="29"/>
      <c r="FS913" s="29"/>
      <c r="FT913" s="29"/>
      <c r="FU913" s="29"/>
      <c r="FV913" s="29"/>
      <c r="FW913" s="29"/>
      <c r="FX913" s="29"/>
      <c r="FY913" s="29"/>
      <c r="FZ913" s="29"/>
      <c r="GA913" s="29"/>
      <c r="GB913" s="29"/>
      <c r="GC913" s="29"/>
      <c r="GD913" s="29"/>
      <c r="GE913" s="29"/>
      <c r="GF913" s="29"/>
      <c r="GG913" s="29"/>
      <c r="GH913" s="29"/>
      <c r="GI913" s="29"/>
      <c r="GJ913" s="29"/>
      <c r="GK913" s="29"/>
      <c r="GL913" s="29"/>
      <c r="GM913" s="29"/>
      <c r="GN913" s="29"/>
      <c r="GO913" s="29"/>
      <c r="GP913" s="29"/>
      <c r="GQ913" s="29"/>
      <c r="GR913" s="29"/>
      <c r="GS913" s="29"/>
      <c r="GT913" s="29"/>
      <c r="GU913" s="29"/>
    </row>
    <row r="914" spans="1:203" ht="32.15" customHeight="1" x14ac:dyDescent="0.4">
      <c r="A914" s="111" t="s">
        <v>406</v>
      </c>
      <c r="B914" s="111"/>
      <c r="C914" s="111"/>
      <c r="D914" s="111"/>
      <c r="E914" s="111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  <c r="AQ914" s="29"/>
      <c r="AR914" s="29"/>
      <c r="AS914" s="29"/>
      <c r="AT914" s="29"/>
      <c r="AU914" s="29"/>
      <c r="AV914" s="29"/>
      <c r="AW914" s="29"/>
      <c r="AX914" s="29"/>
      <c r="AY914" s="29"/>
      <c r="AZ914" s="29"/>
      <c r="BA914" s="29"/>
      <c r="BB914" s="29"/>
      <c r="BC914" s="29"/>
      <c r="BD914" s="29"/>
      <c r="BE914" s="29"/>
      <c r="BF914" s="29"/>
      <c r="BG914" s="29"/>
      <c r="BH914" s="29"/>
      <c r="BI914" s="29"/>
      <c r="BJ914" s="29"/>
      <c r="BK914" s="29"/>
      <c r="BL914" s="29"/>
      <c r="BM914" s="29"/>
      <c r="BN914" s="29"/>
      <c r="BO914" s="29"/>
      <c r="BP914" s="29"/>
      <c r="BQ914" s="29"/>
      <c r="BR914" s="29"/>
      <c r="BS914" s="29"/>
      <c r="BT914" s="29"/>
      <c r="BU914" s="29"/>
      <c r="BV914" s="29"/>
      <c r="BW914" s="29"/>
      <c r="BX914" s="29"/>
      <c r="BY914" s="29"/>
      <c r="BZ914" s="29"/>
      <c r="CA914" s="29"/>
      <c r="CB914" s="29"/>
      <c r="CC914" s="29"/>
      <c r="CD914" s="29"/>
      <c r="CE914" s="29"/>
      <c r="CF914" s="29"/>
      <c r="CG914" s="29"/>
      <c r="CH914" s="29"/>
      <c r="CI914" s="29"/>
      <c r="CJ914" s="29"/>
      <c r="CK914" s="29"/>
      <c r="CL914" s="29"/>
      <c r="CM914" s="29"/>
      <c r="CN914" s="29"/>
      <c r="CO914" s="29"/>
      <c r="CP914" s="29"/>
      <c r="CQ914" s="29"/>
      <c r="CR914" s="29"/>
      <c r="CS914" s="29"/>
      <c r="CT914" s="29"/>
      <c r="CU914" s="29"/>
      <c r="CV914" s="29"/>
      <c r="CW914" s="29"/>
      <c r="CX914" s="29"/>
      <c r="CY914" s="29"/>
      <c r="CZ914" s="29"/>
      <c r="DA914" s="29"/>
      <c r="DB914" s="29"/>
      <c r="DC914" s="29"/>
      <c r="DD914" s="29"/>
      <c r="DE914" s="29"/>
      <c r="DF914" s="29"/>
      <c r="DG914" s="29"/>
      <c r="DH914" s="29"/>
      <c r="DI914" s="29"/>
      <c r="DJ914" s="29"/>
      <c r="DK914" s="29"/>
      <c r="DL914" s="29"/>
      <c r="DM914" s="29"/>
      <c r="DN914" s="29"/>
      <c r="DO914" s="29"/>
      <c r="DP914" s="29"/>
      <c r="DQ914" s="29"/>
      <c r="DR914" s="29"/>
      <c r="DS914" s="29"/>
      <c r="DT914" s="29"/>
      <c r="DU914" s="29"/>
      <c r="DV914" s="29"/>
      <c r="DW914" s="29"/>
      <c r="DX914" s="29"/>
      <c r="DY914" s="29"/>
      <c r="DZ914" s="29"/>
      <c r="EA914" s="29"/>
      <c r="EB914" s="29"/>
      <c r="EC914" s="29"/>
      <c r="ED914" s="29"/>
      <c r="EE914" s="29"/>
      <c r="EF914" s="29"/>
      <c r="EG914" s="29"/>
      <c r="EH914" s="29"/>
      <c r="EI914" s="29"/>
      <c r="EJ914" s="29"/>
      <c r="EK914" s="29"/>
      <c r="EL914" s="29"/>
      <c r="EM914" s="29"/>
      <c r="EN914" s="29"/>
      <c r="EO914" s="29"/>
      <c r="EP914" s="29"/>
      <c r="EQ914" s="29"/>
      <c r="ER914" s="29"/>
      <c r="ES914" s="29"/>
      <c r="ET914" s="29"/>
      <c r="EU914" s="29"/>
      <c r="EV914" s="29"/>
      <c r="EW914" s="29"/>
      <c r="EX914" s="29"/>
      <c r="EY914" s="29"/>
      <c r="EZ914" s="29"/>
      <c r="FA914" s="29"/>
      <c r="FB914" s="29"/>
      <c r="FC914" s="29"/>
      <c r="FD914" s="29"/>
      <c r="FE914" s="29"/>
      <c r="FF914" s="29"/>
      <c r="FG914" s="29"/>
      <c r="FH914" s="29"/>
      <c r="FI914" s="29"/>
      <c r="FJ914" s="29"/>
      <c r="FK914" s="29"/>
      <c r="FL914" s="29"/>
      <c r="FM914" s="29"/>
      <c r="FN914" s="29"/>
      <c r="FO914" s="29"/>
      <c r="FP914" s="29"/>
      <c r="FQ914" s="29"/>
      <c r="FR914" s="29"/>
      <c r="FS914" s="29"/>
      <c r="FT914" s="29"/>
      <c r="FU914" s="29"/>
      <c r="FV914" s="29"/>
      <c r="FW914" s="29"/>
      <c r="FX914" s="29"/>
      <c r="FY914" s="29"/>
      <c r="FZ914" s="29"/>
      <c r="GA914" s="29"/>
      <c r="GB914" s="29"/>
      <c r="GC914" s="29"/>
      <c r="GD914" s="29"/>
      <c r="GE914" s="29"/>
      <c r="GF914" s="29"/>
      <c r="GG914" s="29"/>
      <c r="GH914" s="29"/>
      <c r="GI914" s="29"/>
      <c r="GJ914" s="29"/>
      <c r="GK914" s="29"/>
      <c r="GL914" s="29"/>
      <c r="GM914" s="29"/>
      <c r="GN914" s="29"/>
      <c r="GO914" s="29"/>
      <c r="GP914" s="29"/>
      <c r="GQ914" s="29"/>
      <c r="GR914" s="29"/>
      <c r="GS914" s="29"/>
      <c r="GT914" s="29"/>
      <c r="GU914" s="29"/>
    </row>
    <row r="915" spans="1:203" s="90" customFormat="1" ht="29.25" customHeight="1" x14ac:dyDescent="0.4">
      <c r="A915" s="109" t="s">
        <v>392</v>
      </c>
      <c r="B915" s="109"/>
      <c r="C915" s="109"/>
      <c r="D915" s="109"/>
      <c r="E915" s="109"/>
      <c r="F915" s="105"/>
      <c r="G915" s="105"/>
      <c r="H915" s="105"/>
      <c r="I915" s="105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  <c r="AH915" s="106"/>
      <c r="AI915" s="106"/>
      <c r="AJ915" s="106"/>
      <c r="AK915" s="106"/>
      <c r="AL915" s="106"/>
      <c r="AM915" s="106"/>
      <c r="AN915" s="106"/>
      <c r="AO915" s="106"/>
      <c r="AP915" s="106"/>
      <c r="AQ915" s="106"/>
      <c r="AR915" s="106"/>
      <c r="AS915" s="106"/>
      <c r="AT915" s="106"/>
      <c r="AU915" s="106"/>
      <c r="AV915" s="106"/>
      <c r="AW915" s="106"/>
      <c r="AX915" s="106"/>
      <c r="AY915" s="106"/>
      <c r="AZ915" s="106"/>
      <c r="BA915" s="106"/>
      <c r="BB915" s="106"/>
      <c r="BC915" s="106"/>
      <c r="BD915" s="106"/>
      <c r="BE915" s="106"/>
      <c r="BF915" s="106"/>
      <c r="BG915" s="106"/>
      <c r="BH915" s="106"/>
      <c r="BI915" s="106"/>
      <c r="BJ915" s="106"/>
      <c r="BK915" s="106"/>
      <c r="BL915" s="106"/>
      <c r="BM915" s="106"/>
      <c r="BN915" s="106"/>
      <c r="BO915" s="106"/>
    </row>
    <row r="916" spans="1:203" s="90" customFormat="1" ht="16" customHeight="1" x14ac:dyDescent="0.4">
      <c r="A916" s="109" t="s">
        <v>393</v>
      </c>
      <c r="B916" s="109"/>
      <c r="C916" s="109"/>
      <c r="D916" s="109"/>
      <c r="E916" s="109"/>
      <c r="F916" s="105"/>
      <c r="G916" s="105"/>
      <c r="H916" s="105"/>
      <c r="I916" s="105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  <c r="AH916" s="106"/>
      <c r="AI916" s="106"/>
      <c r="AJ916" s="106"/>
      <c r="AK916" s="106"/>
      <c r="AL916" s="106"/>
      <c r="AM916" s="106"/>
      <c r="AN916" s="106"/>
      <c r="AO916" s="106"/>
      <c r="AP916" s="106"/>
      <c r="AQ916" s="106"/>
      <c r="AR916" s="106"/>
      <c r="AS916" s="106"/>
      <c r="AT916" s="106"/>
      <c r="AU916" s="106"/>
      <c r="AV916" s="106"/>
      <c r="AW916" s="106"/>
      <c r="AX916" s="106"/>
      <c r="AY916" s="106"/>
      <c r="AZ916" s="106"/>
      <c r="BA916" s="106"/>
      <c r="BB916" s="106"/>
      <c r="BC916" s="106"/>
      <c r="BD916" s="106"/>
      <c r="BE916" s="106"/>
      <c r="BF916" s="106"/>
      <c r="BG916" s="106"/>
      <c r="BH916" s="106"/>
      <c r="BI916" s="106"/>
      <c r="BJ916" s="106"/>
      <c r="BK916" s="106"/>
      <c r="BL916" s="106"/>
      <c r="BM916" s="106"/>
      <c r="BN916" s="106"/>
      <c r="BO916" s="106"/>
    </row>
    <row r="917" spans="1:203" s="90" customFormat="1" ht="16" customHeight="1" x14ac:dyDescent="0.4">
      <c r="A917" s="109" t="s">
        <v>394</v>
      </c>
      <c r="B917" s="109"/>
      <c r="C917" s="109"/>
      <c r="D917" s="109"/>
      <c r="E917" s="109"/>
      <c r="F917" s="105"/>
      <c r="G917" s="105"/>
      <c r="H917" s="105"/>
      <c r="I917" s="105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  <c r="AH917" s="106"/>
      <c r="AI917" s="106"/>
      <c r="AJ917" s="106"/>
      <c r="AK917" s="106"/>
      <c r="AL917" s="106"/>
      <c r="AM917" s="106"/>
      <c r="AN917" s="106"/>
      <c r="AO917" s="106"/>
      <c r="AP917" s="106"/>
      <c r="AQ917" s="106"/>
      <c r="AR917" s="106"/>
      <c r="AS917" s="106"/>
      <c r="AT917" s="106"/>
      <c r="AU917" s="106"/>
      <c r="AV917" s="106"/>
      <c r="AW917" s="106"/>
      <c r="AX917" s="106"/>
      <c r="AY917" s="106"/>
      <c r="AZ917" s="106"/>
      <c r="BA917" s="106"/>
      <c r="BB917" s="106"/>
      <c r="BC917" s="106"/>
      <c r="BD917" s="106"/>
      <c r="BE917" s="106"/>
      <c r="BF917" s="106"/>
      <c r="BG917" s="106"/>
      <c r="BH917" s="106"/>
      <c r="BI917" s="106"/>
      <c r="BJ917" s="106"/>
      <c r="BK917" s="106"/>
      <c r="BL917" s="106"/>
      <c r="BM917" s="106"/>
      <c r="BN917" s="106"/>
      <c r="BO917" s="106"/>
    </row>
    <row r="918" spans="1:203" s="90" customFormat="1" ht="16" customHeight="1" x14ac:dyDescent="0.4">
      <c r="A918" s="109" t="s">
        <v>395</v>
      </c>
      <c r="B918" s="109"/>
      <c r="C918" s="109"/>
      <c r="D918" s="109"/>
      <c r="E918" s="109"/>
      <c r="F918" s="105"/>
      <c r="G918" s="105"/>
      <c r="H918" s="105"/>
      <c r="I918" s="105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  <c r="AH918" s="106"/>
      <c r="AI918" s="106"/>
      <c r="AJ918" s="106"/>
      <c r="AK918" s="106"/>
      <c r="AL918" s="106"/>
      <c r="AM918" s="106"/>
      <c r="AN918" s="106"/>
      <c r="AO918" s="106"/>
      <c r="AP918" s="106"/>
      <c r="AQ918" s="106"/>
      <c r="AR918" s="106"/>
      <c r="AS918" s="106"/>
      <c r="AT918" s="106"/>
      <c r="AU918" s="106"/>
      <c r="AV918" s="106"/>
      <c r="AW918" s="106"/>
      <c r="AX918" s="106"/>
      <c r="AY918" s="106"/>
      <c r="AZ918" s="106"/>
      <c r="BA918" s="106"/>
      <c r="BB918" s="106"/>
      <c r="BC918" s="106"/>
      <c r="BD918" s="106"/>
      <c r="BE918" s="106"/>
      <c r="BF918" s="106"/>
      <c r="BG918" s="106"/>
      <c r="BH918" s="106"/>
      <c r="BI918" s="106"/>
      <c r="BJ918" s="106"/>
      <c r="BK918" s="106"/>
      <c r="BL918" s="106"/>
      <c r="BM918" s="106"/>
      <c r="BN918" s="106"/>
      <c r="BO918" s="106"/>
    </row>
    <row r="919" spans="1:203" s="88" customFormat="1" ht="40.5" customHeight="1" x14ac:dyDescent="0.4">
      <c r="A919" s="112" t="s">
        <v>398</v>
      </c>
      <c r="B919" s="112"/>
      <c r="C919" s="112"/>
      <c r="D919" s="112"/>
      <c r="E919" s="112"/>
      <c r="F919" s="87"/>
    </row>
    <row r="920" spans="1:203" s="88" customFormat="1" ht="27.75" customHeight="1" x14ac:dyDescent="0.4">
      <c r="A920" s="111" t="s">
        <v>408</v>
      </c>
      <c r="B920" s="111"/>
      <c r="C920" s="111"/>
      <c r="D920" s="111"/>
      <c r="E920" s="111"/>
      <c r="F920" s="87"/>
    </row>
    <row r="921" spans="1:203" s="88" customFormat="1" ht="40.5" customHeight="1" x14ac:dyDescent="0.4">
      <c r="A921" s="112" t="s">
        <v>407</v>
      </c>
      <c r="B921" s="113"/>
      <c r="C921" s="113"/>
      <c r="D921" s="113"/>
      <c r="E921" s="114"/>
      <c r="F921" s="87"/>
    </row>
    <row r="922" spans="1:203" ht="45.75" customHeight="1" x14ac:dyDescent="0.4">
      <c r="A922" s="111" t="s">
        <v>404</v>
      </c>
      <c r="B922" s="111"/>
      <c r="C922" s="111"/>
      <c r="D922" s="111"/>
      <c r="E922" s="111"/>
      <c r="F922" s="91"/>
      <c r="G922" s="91"/>
      <c r="H922" s="92"/>
      <c r="I922" s="91"/>
      <c r="J922" s="91"/>
      <c r="K922" s="91"/>
      <c r="L922" s="91"/>
      <c r="M922" s="91"/>
      <c r="N922" s="92"/>
      <c r="O922" s="91"/>
      <c r="P922" s="91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4"/>
      <c r="AD922" s="94"/>
      <c r="AE922" s="94"/>
      <c r="AF922" s="94"/>
      <c r="AG922" s="94"/>
      <c r="AH922" s="94"/>
      <c r="AI922" s="94"/>
      <c r="AJ922" s="94"/>
      <c r="AK922" s="94"/>
      <c r="AL922" s="94"/>
      <c r="AM922" s="94"/>
      <c r="AN922" s="94"/>
      <c r="AO922" s="94"/>
      <c r="AP922" s="94"/>
      <c r="AQ922" s="94"/>
      <c r="AR922" s="94"/>
      <c r="AS922" s="94"/>
      <c r="AT922" s="94"/>
      <c r="AU922" s="94"/>
      <c r="AV922" s="94"/>
      <c r="AW922" s="94"/>
      <c r="AX922" s="94"/>
      <c r="AY922" s="94"/>
      <c r="AZ922" s="94"/>
      <c r="BA922" s="94"/>
      <c r="BB922" s="94"/>
      <c r="BC922" s="94"/>
      <c r="BD922" s="94"/>
      <c r="BE922" s="94"/>
      <c r="BF922" s="94"/>
      <c r="BG922" s="94"/>
      <c r="BH922" s="94"/>
      <c r="BI922" s="94"/>
      <c r="BJ922" s="94"/>
      <c r="BK922" s="94"/>
      <c r="BL922" s="94"/>
      <c r="BM922" s="94"/>
      <c r="BN922" s="94"/>
      <c r="BO922" s="94"/>
      <c r="BP922" s="29"/>
      <c r="BQ922" s="29"/>
      <c r="BR922" s="29"/>
      <c r="BS922" s="29"/>
      <c r="BT922" s="29"/>
      <c r="BU922" s="29"/>
      <c r="BV922" s="29"/>
      <c r="BW922" s="29"/>
      <c r="BX922" s="29"/>
      <c r="BY922" s="29"/>
      <c r="BZ922" s="29"/>
      <c r="CA922" s="29"/>
      <c r="CB922" s="29"/>
      <c r="CC922" s="29"/>
      <c r="CD922" s="29"/>
      <c r="CE922" s="29"/>
      <c r="CF922" s="29"/>
      <c r="CG922" s="29"/>
      <c r="CH922" s="29"/>
      <c r="CI922" s="29"/>
      <c r="CJ922" s="29"/>
      <c r="CK922" s="29"/>
      <c r="CL922" s="29"/>
      <c r="CM922" s="29"/>
      <c r="CN922" s="29"/>
      <c r="CO922" s="29"/>
      <c r="CP922" s="29"/>
      <c r="CQ922" s="29"/>
      <c r="CR922" s="29"/>
      <c r="CS922" s="29"/>
      <c r="CT922" s="29"/>
      <c r="CU922" s="29"/>
      <c r="CV922" s="29"/>
      <c r="CW922" s="29"/>
      <c r="CX922" s="29"/>
      <c r="CY922" s="29"/>
      <c r="CZ922" s="29"/>
      <c r="DA922" s="29"/>
      <c r="DB922" s="29"/>
      <c r="DC922" s="29"/>
      <c r="DD922" s="29"/>
      <c r="DE922" s="29"/>
      <c r="DF922" s="29"/>
      <c r="DG922" s="29"/>
      <c r="DH922" s="29"/>
      <c r="DI922" s="29"/>
      <c r="DJ922" s="29"/>
      <c r="DK922" s="29"/>
      <c r="DL922" s="29"/>
      <c r="DM922" s="29"/>
      <c r="DN922" s="29"/>
      <c r="DO922" s="29"/>
      <c r="DP922" s="29"/>
      <c r="DQ922" s="29"/>
      <c r="DR922" s="29"/>
      <c r="DS922" s="29"/>
      <c r="DT922" s="29"/>
      <c r="DU922" s="29"/>
      <c r="DV922" s="29"/>
      <c r="DW922" s="29"/>
      <c r="DX922" s="29"/>
      <c r="DY922" s="29"/>
      <c r="DZ922" s="29"/>
      <c r="EA922" s="29"/>
      <c r="EB922" s="29"/>
      <c r="EC922" s="29"/>
      <c r="ED922" s="29"/>
      <c r="EE922" s="29"/>
      <c r="EF922" s="29"/>
      <c r="EG922" s="29"/>
      <c r="EH922" s="29"/>
      <c r="EI922" s="29"/>
      <c r="EJ922" s="29"/>
      <c r="EK922" s="29"/>
      <c r="EL922" s="29"/>
      <c r="EM922" s="29"/>
      <c r="EN922" s="29"/>
      <c r="EO922" s="29"/>
      <c r="EP922" s="29"/>
      <c r="EQ922" s="29"/>
      <c r="ER922" s="29"/>
      <c r="ES922" s="29"/>
      <c r="ET922" s="29"/>
      <c r="EU922" s="29"/>
      <c r="EV922" s="29"/>
      <c r="EW922" s="29"/>
      <c r="EX922" s="29"/>
      <c r="EY922" s="29"/>
      <c r="EZ922" s="29"/>
      <c r="FA922" s="29"/>
      <c r="FB922" s="29"/>
      <c r="FC922" s="29"/>
      <c r="FD922" s="29"/>
      <c r="FE922" s="29"/>
      <c r="FF922" s="29"/>
      <c r="FG922" s="29"/>
      <c r="FH922" s="29"/>
      <c r="FI922" s="29"/>
      <c r="FJ922" s="29"/>
      <c r="FK922" s="29"/>
      <c r="FL922" s="29"/>
      <c r="FM922" s="29"/>
      <c r="FN922" s="29"/>
      <c r="FO922" s="29"/>
      <c r="FP922" s="29"/>
      <c r="FQ922" s="29"/>
      <c r="FR922" s="29"/>
      <c r="FS922" s="29"/>
      <c r="FT922" s="29"/>
      <c r="FU922" s="29"/>
      <c r="FV922" s="29"/>
      <c r="FW922" s="29"/>
      <c r="FX922" s="29"/>
      <c r="FY922" s="29"/>
      <c r="FZ922" s="29"/>
      <c r="GA922" s="29"/>
      <c r="GB922" s="29"/>
      <c r="GC922" s="29"/>
      <c r="GD922" s="29"/>
      <c r="GE922" s="29"/>
      <c r="GF922" s="29"/>
      <c r="GG922" s="29"/>
      <c r="GH922" s="29"/>
      <c r="GI922" s="29"/>
      <c r="GJ922" s="29"/>
      <c r="GK922" s="29"/>
      <c r="GL922" s="29"/>
      <c r="GM922" s="29"/>
      <c r="GN922" s="29"/>
      <c r="GO922" s="29"/>
      <c r="GP922" s="29"/>
      <c r="GQ922" s="29"/>
      <c r="GR922" s="29"/>
      <c r="GS922" s="29"/>
      <c r="GT922" s="29"/>
      <c r="GU922" s="29"/>
    </row>
    <row r="923" spans="1:203" s="88" customFormat="1" ht="63" customHeight="1" x14ac:dyDescent="0.4">
      <c r="A923" s="112" t="s">
        <v>402</v>
      </c>
      <c r="B923" s="112"/>
      <c r="C923" s="112"/>
      <c r="D923" s="112"/>
      <c r="E923" s="112"/>
      <c r="F923" s="87"/>
    </row>
    <row r="924" spans="1:203" s="88" customFormat="1" ht="40.5" customHeight="1" x14ac:dyDescent="0.4">
      <c r="A924" s="112" t="s">
        <v>399</v>
      </c>
      <c r="B924" s="112"/>
      <c r="C924" s="112"/>
      <c r="D924" s="112"/>
      <c r="E924" s="112"/>
      <c r="F924" s="87"/>
    </row>
    <row r="925" spans="1:203" s="108" customFormat="1" ht="57.75" customHeight="1" x14ac:dyDescent="0.4">
      <c r="A925" s="112" t="s">
        <v>400</v>
      </c>
      <c r="B925" s="112"/>
      <c r="C925" s="112"/>
      <c r="D925" s="112"/>
      <c r="E925" s="112"/>
      <c r="F925" s="107"/>
    </row>
    <row r="926" spans="1:203" s="108" customFormat="1" ht="57.75" customHeight="1" x14ac:dyDescent="0.4">
      <c r="A926" s="111" t="s">
        <v>401</v>
      </c>
      <c r="B926" s="111"/>
      <c r="C926" s="111"/>
      <c r="D926" s="111"/>
      <c r="E926" s="111"/>
      <c r="F926" s="107"/>
    </row>
    <row r="927" spans="1:203" s="88" customFormat="1" ht="75.75" customHeight="1" x14ac:dyDescent="0.4">
      <c r="A927" s="112" t="s">
        <v>403</v>
      </c>
      <c r="B927" s="113"/>
      <c r="C927" s="113"/>
      <c r="D927" s="113"/>
      <c r="E927" s="114"/>
      <c r="F927" s="87"/>
    </row>
    <row r="928" spans="1:203" ht="15.45" x14ac:dyDescent="0.4">
      <c r="A928" s="96"/>
      <c r="B928" s="96"/>
      <c r="C928" s="96"/>
      <c r="D928" s="96"/>
      <c r="E928" s="96"/>
      <c r="F928" s="32"/>
      <c r="K928" s="32"/>
      <c r="L928" s="32"/>
      <c r="M928" s="32"/>
      <c r="O928" s="32"/>
      <c r="P928" s="32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  <c r="AQ928" s="29"/>
      <c r="AR928" s="29"/>
      <c r="AS928" s="29"/>
      <c r="AT928" s="29"/>
      <c r="AU928" s="29"/>
      <c r="AV928" s="29"/>
      <c r="AW928" s="29"/>
      <c r="AX928" s="29"/>
      <c r="AY928" s="29"/>
      <c r="AZ928" s="29"/>
      <c r="BA928" s="29"/>
      <c r="BB928" s="29"/>
      <c r="BC928" s="29"/>
      <c r="BD928" s="29"/>
      <c r="BE928" s="29"/>
      <c r="BF928" s="29"/>
      <c r="BG928" s="29"/>
      <c r="BH928" s="29"/>
      <c r="BI928" s="29"/>
      <c r="BJ928" s="29"/>
      <c r="BK928" s="29"/>
      <c r="BL928" s="29"/>
      <c r="BM928" s="29"/>
      <c r="BN928" s="29"/>
      <c r="BO928" s="29"/>
      <c r="BP928" s="29"/>
      <c r="BQ928" s="29"/>
      <c r="BR928" s="29"/>
      <c r="BS928" s="29"/>
      <c r="BT928" s="29"/>
      <c r="BU928" s="29"/>
      <c r="BV928" s="29"/>
      <c r="BW928" s="29"/>
      <c r="BX928" s="29"/>
      <c r="BY928" s="29"/>
      <c r="BZ928" s="29"/>
      <c r="CA928" s="29"/>
      <c r="CB928" s="29"/>
      <c r="CC928" s="29"/>
      <c r="CD928" s="29"/>
      <c r="CE928" s="29"/>
      <c r="CF928" s="29"/>
      <c r="CG928" s="29"/>
      <c r="CH928" s="29"/>
      <c r="CI928" s="29"/>
      <c r="CJ928" s="29"/>
      <c r="CK928" s="29"/>
      <c r="CL928" s="29"/>
      <c r="CM928" s="29"/>
      <c r="CN928" s="29"/>
      <c r="CO928" s="29"/>
      <c r="CP928" s="29"/>
      <c r="CQ928" s="29"/>
      <c r="CR928" s="29"/>
      <c r="CS928" s="29"/>
      <c r="CT928" s="29"/>
      <c r="CU928" s="29"/>
      <c r="CV928" s="29"/>
      <c r="CW928" s="29"/>
      <c r="CX928" s="29"/>
      <c r="CY928" s="29"/>
      <c r="CZ928" s="29"/>
      <c r="DA928" s="29"/>
      <c r="DB928" s="29"/>
      <c r="DC928" s="29"/>
      <c r="DD928" s="29"/>
      <c r="DE928" s="29"/>
      <c r="DF928" s="29"/>
      <c r="DG928" s="29"/>
      <c r="DH928" s="29"/>
      <c r="DI928" s="29"/>
      <c r="DJ928" s="29"/>
      <c r="DK928" s="29"/>
      <c r="DL928" s="29"/>
      <c r="DM928" s="29"/>
      <c r="DN928" s="29"/>
      <c r="DO928" s="29"/>
      <c r="DP928" s="29"/>
      <c r="DQ928" s="29"/>
      <c r="DR928" s="29"/>
      <c r="DS928" s="29"/>
      <c r="DT928" s="29"/>
      <c r="DU928" s="29"/>
      <c r="DV928" s="29"/>
      <c r="DW928" s="29"/>
      <c r="DX928" s="29"/>
      <c r="DY928" s="29"/>
      <c r="DZ928" s="29"/>
      <c r="EA928" s="29"/>
      <c r="EB928" s="29"/>
      <c r="EC928" s="29"/>
      <c r="ED928" s="29"/>
      <c r="EE928" s="29"/>
      <c r="EF928" s="29"/>
      <c r="EG928" s="29"/>
      <c r="EH928" s="29"/>
      <c r="EI928" s="29"/>
      <c r="EJ928" s="29"/>
      <c r="EK928" s="29"/>
      <c r="EL928" s="29"/>
      <c r="EM928" s="29"/>
      <c r="EN928" s="29"/>
      <c r="EO928" s="29"/>
      <c r="EP928" s="29"/>
      <c r="EQ928" s="29"/>
      <c r="ER928" s="29"/>
      <c r="ES928" s="29"/>
      <c r="ET928" s="29"/>
      <c r="EU928" s="29"/>
      <c r="EV928" s="29"/>
      <c r="EW928" s="29"/>
      <c r="EX928" s="29"/>
      <c r="EY928" s="29"/>
      <c r="EZ928" s="29"/>
      <c r="FA928" s="29"/>
      <c r="FB928" s="29"/>
      <c r="FC928" s="29"/>
      <c r="FD928" s="29"/>
      <c r="FE928" s="29"/>
      <c r="FF928" s="29"/>
      <c r="FG928" s="29"/>
      <c r="FH928" s="29"/>
      <c r="FI928" s="29"/>
      <c r="FJ928" s="29"/>
      <c r="FK928" s="29"/>
      <c r="FL928" s="29"/>
      <c r="FM928" s="29"/>
      <c r="FN928" s="29"/>
      <c r="FO928" s="29"/>
      <c r="FP928" s="29"/>
      <c r="FQ928" s="29"/>
      <c r="FR928" s="29"/>
      <c r="FS928" s="29"/>
      <c r="FT928" s="29"/>
      <c r="FU928" s="29"/>
      <c r="FV928" s="29"/>
      <c r="FW928" s="29"/>
      <c r="FX928" s="29"/>
      <c r="FY928" s="29"/>
      <c r="FZ928" s="29"/>
      <c r="GA928" s="29"/>
      <c r="GB928" s="29"/>
      <c r="GC928" s="29"/>
      <c r="GD928" s="29"/>
      <c r="GE928" s="29"/>
      <c r="GF928" s="29"/>
      <c r="GG928" s="29"/>
      <c r="GH928" s="29"/>
      <c r="GI928" s="29"/>
      <c r="GJ928" s="29"/>
      <c r="GK928" s="29"/>
      <c r="GL928" s="29"/>
      <c r="GM928" s="29"/>
      <c r="GN928" s="29"/>
      <c r="GO928" s="29"/>
      <c r="GP928" s="29"/>
      <c r="GQ928" s="29"/>
      <c r="GR928" s="29"/>
      <c r="GS928" s="29"/>
      <c r="GT928" s="29"/>
      <c r="GU928" s="29"/>
    </row>
    <row r="929" spans="1:203" ht="32.15" customHeight="1" x14ac:dyDescent="0.4">
      <c r="A929" s="68" t="s">
        <v>54</v>
      </c>
      <c r="B929" s="97"/>
      <c r="C929" s="97"/>
      <c r="D929" s="48"/>
      <c r="E929" s="50"/>
      <c r="F929" s="4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  <c r="AQ929" s="29"/>
      <c r="AR929" s="29"/>
      <c r="AS929" s="29"/>
      <c r="AT929" s="29"/>
      <c r="AU929" s="29"/>
      <c r="AV929" s="29"/>
      <c r="AW929" s="29"/>
      <c r="AX929" s="29"/>
      <c r="AY929" s="29"/>
      <c r="AZ929" s="29"/>
      <c r="BA929" s="29"/>
      <c r="BB929" s="29"/>
      <c r="BC929" s="29"/>
      <c r="BD929" s="29"/>
      <c r="BE929" s="29"/>
      <c r="BF929" s="29"/>
      <c r="BG929" s="29"/>
      <c r="BH929" s="29"/>
      <c r="BI929" s="29"/>
      <c r="BJ929" s="29"/>
      <c r="BK929" s="29"/>
      <c r="BL929" s="29"/>
      <c r="BM929" s="29"/>
      <c r="BN929" s="29"/>
      <c r="BO929" s="29"/>
      <c r="BP929" s="29"/>
      <c r="BQ929" s="29"/>
      <c r="BR929" s="29"/>
      <c r="BS929" s="29"/>
      <c r="BT929" s="29"/>
      <c r="BU929" s="29"/>
      <c r="BV929" s="29"/>
      <c r="BW929" s="29"/>
      <c r="BX929" s="29"/>
      <c r="BY929" s="29"/>
      <c r="BZ929" s="29"/>
      <c r="CA929" s="29"/>
      <c r="CB929" s="29"/>
      <c r="CC929" s="29"/>
      <c r="CD929" s="29"/>
      <c r="CE929" s="29"/>
      <c r="CF929" s="29"/>
      <c r="CG929" s="29"/>
      <c r="CH929" s="29"/>
      <c r="CI929" s="29"/>
      <c r="CJ929" s="29"/>
      <c r="CK929" s="29"/>
      <c r="CL929" s="29"/>
      <c r="CM929" s="29"/>
      <c r="CN929" s="29"/>
      <c r="CO929" s="29"/>
      <c r="CP929" s="29"/>
      <c r="CQ929" s="29"/>
      <c r="CR929" s="29"/>
      <c r="CS929" s="29"/>
      <c r="CT929" s="29"/>
      <c r="CU929" s="29"/>
      <c r="CV929" s="29"/>
      <c r="CW929" s="29"/>
      <c r="CX929" s="29"/>
      <c r="CY929" s="29"/>
      <c r="CZ929" s="29"/>
      <c r="DA929" s="29"/>
      <c r="DB929" s="29"/>
      <c r="DC929" s="29"/>
      <c r="DD929" s="29"/>
      <c r="DE929" s="29"/>
      <c r="DF929" s="29"/>
      <c r="DG929" s="29"/>
      <c r="DH929" s="29"/>
      <c r="DI929" s="29"/>
      <c r="DJ929" s="29"/>
      <c r="DK929" s="29"/>
      <c r="DL929" s="29"/>
      <c r="DM929" s="29"/>
      <c r="DN929" s="29"/>
      <c r="DO929" s="29"/>
      <c r="DP929" s="29"/>
      <c r="DQ929" s="29"/>
      <c r="DR929" s="29"/>
      <c r="DS929" s="29"/>
      <c r="DT929" s="29"/>
      <c r="DU929" s="29"/>
      <c r="DV929" s="29"/>
      <c r="DW929" s="29"/>
      <c r="DX929" s="29"/>
      <c r="DY929" s="29"/>
      <c r="DZ929" s="29"/>
      <c r="EA929" s="29"/>
      <c r="EB929" s="29"/>
      <c r="EC929" s="29"/>
      <c r="ED929" s="29"/>
      <c r="EE929" s="29"/>
      <c r="EF929" s="29"/>
      <c r="EG929" s="29"/>
      <c r="EH929" s="29"/>
      <c r="EI929" s="29"/>
      <c r="EJ929" s="29"/>
      <c r="EK929" s="29"/>
      <c r="EL929" s="29"/>
      <c r="EM929" s="29"/>
      <c r="EN929" s="29"/>
      <c r="EO929" s="29"/>
      <c r="EP929" s="29"/>
      <c r="EQ929" s="29"/>
      <c r="ER929" s="29"/>
      <c r="ES929" s="29"/>
      <c r="ET929" s="29"/>
      <c r="EU929" s="29"/>
      <c r="EV929" s="29"/>
      <c r="EW929" s="29"/>
      <c r="EX929" s="29"/>
      <c r="EY929" s="29"/>
      <c r="EZ929" s="29"/>
      <c r="FA929" s="29"/>
      <c r="FB929" s="29"/>
      <c r="FC929" s="29"/>
      <c r="FD929" s="29"/>
      <c r="FE929" s="29"/>
      <c r="FF929" s="29"/>
      <c r="FG929" s="29"/>
      <c r="FH929" s="29"/>
      <c r="FI929" s="29"/>
      <c r="FJ929" s="29"/>
      <c r="FK929" s="29"/>
      <c r="FL929" s="29"/>
      <c r="FM929" s="29"/>
      <c r="FN929" s="29"/>
      <c r="FO929" s="29"/>
      <c r="FP929" s="29"/>
      <c r="FQ929" s="29"/>
      <c r="FR929" s="29"/>
      <c r="FS929" s="29"/>
      <c r="FT929" s="29"/>
      <c r="FU929" s="29"/>
      <c r="FV929" s="29"/>
      <c r="FW929" s="29"/>
      <c r="FX929" s="29"/>
      <c r="FY929" s="29"/>
      <c r="FZ929" s="29"/>
      <c r="GA929" s="29"/>
      <c r="GB929" s="29"/>
      <c r="GC929" s="29"/>
      <c r="GD929" s="29"/>
      <c r="GE929" s="29"/>
      <c r="GF929" s="29"/>
      <c r="GG929" s="29"/>
      <c r="GH929" s="29"/>
      <c r="GI929" s="29"/>
      <c r="GJ929" s="29"/>
      <c r="GK929" s="29"/>
      <c r="GL929" s="29"/>
      <c r="GM929" s="29"/>
      <c r="GN929" s="29"/>
      <c r="GO929" s="29"/>
      <c r="GP929" s="29"/>
      <c r="GQ929" s="29"/>
      <c r="GR929" s="29"/>
      <c r="GS929" s="29"/>
      <c r="GT929" s="29"/>
      <c r="GU929" s="29"/>
    </row>
    <row r="930" spans="1:203" ht="32.15" customHeight="1" x14ac:dyDescent="0.4">
      <c r="A930" s="97" t="s">
        <v>409</v>
      </c>
      <c r="B930" s="97"/>
      <c r="C930" s="97"/>
      <c r="D930" s="48"/>
      <c r="E930" s="50"/>
      <c r="F930" s="4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  <c r="AQ930" s="29"/>
      <c r="AR930" s="29"/>
      <c r="AS930" s="29"/>
      <c r="AT930" s="29"/>
      <c r="AU930" s="29"/>
      <c r="AV930" s="29"/>
      <c r="AW930" s="29"/>
      <c r="AX930" s="29"/>
      <c r="AY930" s="29"/>
      <c r="AZ930" s="29"/>
      <c r="BA930" s="29"/>
      <c r="BB930" s="29"/>
      <c r="BC930" s="29"/>
      <c r="BD930" s="29"/>
      <c r="BE930" s="29"/>
      <c r="BF930" s="29"/>
      <c r="BG930" s="29"/>
      <c r="BH930" s="29"/>
      <c r="BI930" s="29"/>
      <c r="BJ930" s="29"/>
      <c r="BK930" s="29"/>
      <c r="BL930" s="29"/>
      <c r="BM930" s="29"/>
      <c r="BN930" s="29"/>
      <c r="BO930" s="29"/>
      <c r="BP930" s="29"/>
      <c r="BQ930" s="29"/>
      <c r="BR930" s="29"/>
      <c r="BS930" s="29"/>
      <c r="BT930" s="29"/>
      <c r="BU930" s="29"/>
      <c r="BV930" s="29"/>
      <c r="BW930" s="29"/>
      <c r="BX930" s="29"/>
      <c r="BY930" s="29"/>
      <c r="BZ930" s="29"/>
      <c r="CA930" s="29"/>
      <c r="CB930" s="29"/>
      <c r="CC930" s="29"/>
      <c r="CD930" s="29"/>
      <c r="CE930" s="29"/>
      <c r="CF930" s="29"/>
      <c r="CG930" s="29"/>
      <c r="CH930" s="29"/>
      <c r="CI930" s="29"/>
      <c r="CJ930" s="29"/>
      <c r="CK930" s="29"/>
      <c r="CL930" s="29"/>
      <c r="CM930" s="29"/>
      <c r="CN930" s="29"/>
      <c r="CO930" s="29"/>
      <c r="CP930" s="29"/>
      <c r="CQ930" s="29"/>
      <c r="CR930" s="29"/>
      <c r="CS930" s="29"/>
      <c r="CT930" s="29"/>
      <c r="CU930" s="29"/>
      <c r="CV930" s="29"/>
      <c r="CW930" s="29"/>
      <c r="CX930" s="29"/>
      <c r="CY930" s="29"/>
      <c r="CZ930" s="29"/>
      <c r="DA930" s="29"/>
      <c r="DB930" s="29"/>
      <c r="DC930" s="29"/>
      <c r="DD930" s="29"/>
      <c r="DE930" s="29"/>
      <c r="DF930" s="29"/>
      <c r="DG930" s="29"/>
      <c r="DH930" s="29"/>
      <c r="DI930" s="29"/>
      <c r="DJ930" s="29"/>
      <c r="DK930" s="29"/>
      <c r="DL930" s="29"/>
      <c r="DM930" s="29"/>
      <c r="DN930" s="29"/>
      <c r="DO930" s="29"/>
      <c r="DP930" s="29"/>
      <c r="DQ930" s="29"/>
      <c r="DR930" s="29"/>
      <c r="DS930" s="29"/>
      <c r="DT930" s="29"/>
      <c r="DU930" s="29"/>
      <c r="DV930" s="29"/>
      <c r="DW930" s="29"/>
      <c r="DX930" s="29"/>
      <c r="DY930" s="29"/>
      <c r="DZ930" s="29"/>
      <c r="EA930" s="29"/>
      <c r="EB930" s="29"/>
      <c r="EC930" s="29"/>
      <c r="ED930" s="29"/>
      <c r="EE930" s="29"/>
      <c r="EF930" s="29"/>
      <c r="EG930" s="29"/>
      <c r="EH930" s="29"/>
      <c r="EI930" s="29"/>
      <c r="EJ930" s="29"/>
      <c r="EK930" s="29"/>
      <c r="EL930" s="29"/>
      <c r="EM930" s="29"/>
      <c r="EN930" s="29"/>
      <c r="EO930" s="29"/>
      <c r="EP930" s="29"/>
      <c r="EQ930" s="29"/>
      <c r="ER930" s="29"/>
      <c r="ES930" s="29"/>
      <c r="ET930" s="29"/>
      <c r="EU930" s="29"/>
      <c r="EV930" s="29"/>
      <c r="EW930" s="29"/>
      <c r="EX930" s="29"/>
      <c r="EY930" s="29"/>
      <c r="EZ930" s="29"/>
      <c r="FA930" s="29"/>
      <c r="FB930" s="29"/>
      <c r="FC930" s="29"/>
      <c r="FD930" s="29"/>
      <c r="FE930" s="29"/>
      <c r="FF930" s="29"/>
      <c r="FG930" s="29"/>
      <c r="FH930" s="29"/>
      <c r="FI930" s="29"/>
      <c r="FJ930" s="29"/>
      <c r="FK930" s="29"/>
      <c r="FL930" s="29"/>
      <c r="FM930" s="29"/>
      <c r="FN930" s="29"/>
      <c r="FO930" s="29"/>
      <c r="FP930" s="29"/>
      <c r="FQ930" s="29"/>
      <c r="FR930" s="29"/>
      <c r="FS930" s="29"/>
      <c r="FT930" s="29"/>
      <c r="FU930" s="29"/>
      <c r="FV930" s="29"/>
      <c r="FW930" s="29"/>
      <c r="FX930" s="29"/>
      <c r="FY930" s="29"/>
      <c r="FZ930" s="29"/>
      <c r="GA930" s="29"/>
      <c r="GB930" s="29"/>
      <c r="GC930" s="29"/>
      <c r="GD930" s="29"/>
      <c r="GE930" s="29"/>
      <c r="GF930" s="29"/>
      <c r="GG930" s="29"/>
      <c r="GH930" s="29"/>
      <c r="GI930" s="29"/>
      <c r="GJ930" s="29"/>
      <c r="GK930" s="29"/>
      <c r="GL930" s="29"/>
      <c r="GM930" s="29"/>
      <c r="GN930" s="29"/>
      <c r="GO930" s="29"/>
      <c r="GP930" s="29"/>
      <c r="GQ930" s="29"/>
      <c r="GR930" s="29"/>
      <c r="GS930" s="29"/>
      <c r="GT930" s="29"/>
      <c r="GU930" s="29"/>
    </row>
    <row r="931" spans="1:203" ht="32.15" customHeight="1" x14ac:dyDescent="0.4">
      <c r="A931" s="97" t="s">
        <v>53</v>
      </c>
      <c r="B931" s="72"/>
      <c r="C931" s="72"/>
      <c r="D931" s="48"/>
      <c r="E931" s="50"/>
      <c r="F931" s="51"/>
      <c r="G931" s="34"/>
      <c r="H931" s="52"/>
      <c r="I931" s="34"/>
      <c r="J931" s="34"/>
      <c r="N931" s="52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  <c r="AQ931" s="29"/>
      <c r="AR931" s="29"/>
      <c r="AS931" s="29"/>
      <c r="AT931" s="29"/>
      <c r="AU931" s="29"/>
      <c r="AV931" s="29"/>
      <c r="AW931" s="29"/>
      <c r="AX931" s="29"/>
      <c r="AY931" s="29"/>
      <c r="AZ931" s="29"/>
      <c r="BA931" s="29"/>
      <c r="BB931" s="29"/>
      <c r="BC931" s="29"/>
      <c r="BD931" s="29"/>
      <c r="BE931" s="29"/>
      <c r="BF931" s="29"/>
      <c r="BG931" s="29"/>
      <c r="BH931" s="29"/>
      <c r="BI931" s="29"/>
      <c r="BJ931" s="29"/>
      <c r="BK931" s="29"/>
      <c r="BL931" s="29"/>
      <c r="BM931" s="29"/>
      <c r="BN931" s="29"/>
      <c r="BO931" s="29"/>
      <c r="BP931" s="29"/>
      <c r="BQ931" s="29"/>
      <c r="BR931" s="29"/>
      <c r="BS931" s="29"/>
      <c r="BT931" s="29"/>
      <c r="BU931" s="29"/>
      <c r="BV931" s="29"/>
      <c r="BW931" s="29"/>
      <c r="BX931" s="29"/>
      <c r="BY931" s="29"/>
      <c r="BZ931" s="29"/>
      <c r="CA931" s="29"/>
      <c r="CB931" s="29"/>
      <c r="CC931" s="29"/>
      <c r="CD931" s="29"/>
      <c r="CE931" s="29"/>
      <c r="CF931" s="29"/>
      <c r="CG931" s="29"/>
      <c r="CH931" s="29"/>
      <c r="CI931" s="29"/>
      <c r="CJ931" s="29"/>
      <c r="CK931" s="29"/>
      <c r="CL931" s="29"/>
      <c r="CM931" s="29"/>
      <c r="CN931" s="29"/>
      <c r="CO931" s="29"/>
      <c r="CP931" s="29"/>
      <c r="CQ931" s="29"/>
      <c r="CR931" s="29"/>
      <c r="CS931" s="29"/>
      <c r="CT931" s="29"/>
      <c r="CU931" s="29"/>
      <c r="CV931" s="29"/>
      <c r="CW931" s="29"/>
      <c r="CX931" s="29"/>
      <c r="CY931" s="29"/>
      <c r="CZ931" s="29"/>
      <c r="DA931" s="29"/>
      <c r="DB931" s="29"/>
      <c r="DC931" s="29"/>
      <c r="DD931" s="29"/>
      <c r="DE931" s="29"/>
      <c r="DF931" s="29"/>
      <c r="DG931" s="29"/>
      <c r="DH931" s="29"/>
      <c r="DI931" s="29"/>
      <c r="DJ931" s="29"/>
      <c r="DK931" s="29"/>
      <c r="DL931" s="29"/>
      <c r="DM931" s="29"/>
      <c r="DN931" s="29"/>
      <c r="DO931" s="29"/>
      <c r="DP931" s="29"/>
      <c r="DQ931" s="29"/>
      <c r="DR931" s="29"/>
      <c r="DS931" s="29"/>
      <c r="DT931" s="29"/>
      <c r="DU931" s="29"/>
      <c r="DV931" s="29"/>
      <c r="DW931" s="29"/>
      <c r="DX931" s="29"/>
      <c r="DY931" s="29"/>
      <c r="DZ931" s="29"/>
      <c r="EA931" s="29"/>
      <c r="EB931" s="29"/>
      <c r="EC931" s="29"/>
      <c r="ED931" s="29"/>
      <c r="EE931" s="29"/>
      <c r="EF931" s="29"/>
      <c r="EG931" s="29"/>
      <c r="EH931" s="29"/>
      <c r="EI931" s="29"/>
      <c r="EJ931" s="29"/>
      <c r="EK931" s="29"/>
      <c r="EL931" s="29"/>
      <c r="EM931" s="29"/>
      <c r="EN931" s="29"/>
      <c r="EO931" s="29"/>
      <c r="EP931" s="29"/>
      <c r="EQ931" s="29"/>
      <c r="ER931" s="29"/>
      <c r="ES931" s="29"/>
      <c r="ET931" s="29"/>
      <c r="EU931" s="29"/>
      <c r="EV931" s="29"/>
      <c r="EW931" s="29"/>
      <c r="EX931" s="29"/>
      <c r="EY931" s="29"/>
      <c r="EZ931" s="29"/>
      <c r="FA931" s="29"/>
      <c r="FB931" s="29"/>
      <c r="FC931" s="29"/>
      <c r="FD931" s="29"/>
      <c r="FE931" s="29"/>
      <c r="FF931" s="29"/>
      <c r="FG931" s="29"/>
      <c r="FH931" s="29"/>
      <c r="FI931" s="29"/>
      <c r="FJ931" s="29"/>
      <c r="FK931" s="29"/>
      <c r="FL931" s="29"/>
      <c r="FM931" s="29"/>
      <c r="FN931" s="29"/>
      <c r="FO931" s="29"/>
      <c r="FP931" s="29"/>
      <c r="FQ931" s="29"/>
      <c r="FR931" s="29"/>
      <c r="FS931" s="29"/>
      <c r="FT931" s="29"/>
      <c r="FU931" s="29"/>
      <c r="FV931" s="29"/>
      <c r="FW931" s="29"/>
      <c r="FX931" s="29"/>
      <c r="FY931" s="29"/>
      <c r="FZ931" s="29"/>
      <c r="GA931" s="29"/>
      <c r="GB931" s="29"/>
      <c r="GC931" s="29"/>
      <c r="GD931" s="29"/>
      <c r="GE931" s="29"/>
      <c r="GF931" s="29"/>
      <c r="GG931" s="29"/>
      <c r="GH931" s="29"/>
      <c r="GI931" s="29"/>
      <c r="GJ931" s="29"/>
      <c r="GK931" s="29"/>
      <c r="GL931" s="29"/>
      <c r="GM931" s="29"/>
      <c r="GN931" s="29"/>
      <c r="GO931" s="29"/>
      <c r="GP931" s="29"/>
      <c r="GQ931" s="29"/>
      <c r="GR931" s="29"/>
      <c r="GS931" s="29"/>
      <c r="GT931" s="29"/>
      <c r="GU931" s="29"/>
    </row>
    <row r="932" spans="1:203" ht="15.45" x14ac:dyDescent="0.4">
      <c r="A932" s="50"/>
      <c r="B932" s="117"/>
      <c r="C932" s="117"/>
      <c r="D932" s="48"/>
      <c r="E932" s="50"/>
      <c r="F932" s="51"/>
      <c r="G932" s="34"/>
      <c r="H932" s="52"/>
      <c r="I932" s="34"/>
      <c r="J932" s="34"/>
      <c r="N932" s="52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  <c r="AQ932" s="29"/>
      <c r="AR932" s="29"/>
      <c r="AS932" s="29"/>
      <c r="AT932" s="29"/>
      <c r="AU932" s="29"/>
      <c r="AV932" s="29"/>
      <c r="AW932" s="29"/>
      <c r="AX932" s="29"/>
      <c r="AY932" s="29"/>
      <c r="AZ932" s="29"/>
      <c r="BA932" s="29"/>
      <c r="BB932" s="29"/>
      <c r="BC932" s="29"/>
      <c r="BD932" s="29"/>
      <c r="BE932" s="29"/>
      <c r="BF932" s="29"/>
      <c r="BG932" s="29"/>
      <c r="BH932" s="29"/>
      <c r="BI932" s="29"/>
      <c r="BJ932" s="29"/>
      <c r="BK932" s="29"/>
      <c r="BL932" s="29"/>
      <c r="BM932" s="29"/>
      <c r="BN932" s="29"/>
      <c r="BO932" s="29"/>
      <c r="BP932" s="29"/>
      <c r="BQ932" s="29"/>
      <c r="BR932" s="29"/>
      <c r="BS932" s="29"/>
      <c r="BT932" s="29"/>
      <c r="BU932" s="29"/>
      <c r="BV932" s="29"/>
      <c r="BW932" s="29"/>
      <c r="BX932" s="29"/>
      <c r="BY932" s="29"/>
      <c r="BZ932" s="29"/>
      <c r="CA932" s="29"/>
      <c r="CB932" s="29"/>
      <c r="CC932" s="29"/>
      <c r="CD932" s="29"/>
      <c r="CE932" s="29"/>
      <c r="CF932" s="29"/>
      <c r="CG932" s="29"/>
      <c r="CH932" s="29"/>
      <c r="CI932" s="29"/>
      <c r="CJ932" s="29"/>
      <c r="CK932" s="29"/>
      <c r="CL932" s="29"/>
      <c r="CM932" s="29"/>
      <c r="CN932" s="29"/>
      <c r="CO932" s="29"/>
      <c r="CP932" s="29"/>
      <c r="CQ932" s="29"/>
      <c r="CR932" s="29"/>
      <c r="CS932" s="29"/>
      <c r="CT932" s="29"/>
      <c r="CU932" s="29"/>
      <c r="CV932" s="29"/>
      <c r="CW932" s="29"/>
      <c r="CX932" s="29"/>
      <c r="CY932" s="29"/>
      <c r="CZ932" s="29"/>
      <c r="DA932" s="29"/>
      <c r="DB932" s="29"/>
      <c r="DC932" s="29"/>
      <c r="DD932" s="29"/>
      <c r="DE932" s="29"/>
      <c r="DF932" s="29"/>
      <c r="DG932" s="29"/>
      <c r="DH932" s="29"/>
      <c r="DI932" s="29"/>
      <c r="DJ932" s="29"/>
      <c r="DK932" s="29"/>
      <c r="DL932" s="29"/>
      <c r="DM932" s="29"/>
      <c r="DN932" s="29"/>
      <c r="DO932" s="29"/>
      <c r="DP932" s="29"/>
      <c r="DQ932" s="29"/>
      <c r="DR932" s="29"/>
      <c r="DS932" s="29"/>
      <c r="DT932" s="29"/>
      <c r="DU932" s="29"/>
      <c r="DV932" s="29"/>
      <c r="DW932" s="29"/>
      <c r="DX932" s="29"/>
      <c r="DY932" s="29"/>
      <c r="DZ932" s="29"/>
      <c r="EA932" s="29"/>
      <c r="EB932" s="29"/>
      <c r="EC932" s="29"/>
      <c r="ED932" s="29"/>
      <c r="EE932" s="29"/>
      <c r="EF932" s="29"/>
      <c r="EG932" s="29"/>
      <c r="EH932" s="29"/>
      <c r="EI932" s="29"/>
      <c r="EJ932" s="29"/>
      <c r="EK932" s="29"/>
      <c r="EL932" s="29"/>
      <c r="EM932" s="29"/>
      <c r="EN932" s="29"/>
      <c r="EO932" s="29"/>
      <c r="EP932" s="29"/>
      <c r="EQ932" s="29"/>
      <c r="ER932" s="29"/>
      <c r="ES932" s="29"/>
      <c r="ET932" s="29"/>
      <c r="EU932" s="29"/>
      <c r="EV932" s="29"/>
      <c r="EW932" s="29"/>
      <c r="EX932" s="29"/>
      <c r="EY932" s="29"/>
      <c r="EZ932" s="29"/>
      <c r="FA932" s="29"/>
      <c r="FB932" s="29"/>
      <c r="FC932" s="29"/>
      <c r="FD932" s="29"/>
      <c r="FE932" s="29"/>
      <c r="FF932" s="29"/>
      <c r="FG932" s="29"/>
      <c r="FH932" s="29"/>
      <c r="FI932" s="29"/>
      <c r="FJ932" s="29"/>
      <c r="FK932" s="29"/>
      <c r="FL932" s="29"/>
      <c r="FM932" s="29"/>
      <c r="FN932" s="29"/>
      <c r="FO932" s="29"/>
      <c r="FP932" s="29"/>
      <c r="FQ932" s="29"/>
      <c r="FR932" s="29"/>
      <c r="FS932" s="29"/>
      <c r="FT932" s="29"/>
      <c r="FU932" s="29"/>
      <c r="FV932" s="29"/>
      <c r="FW932" s="29"/>
      <c r="FX932" s="29"/>
      <c r="FY932" s="29"/>
      <c r="FZ932" s="29"/>
      <c r="GA932" s="29"/>
      <c r="GB932" s="29"/>
      <c r="GC932" s="29"/>
      <c r="GD932" s="29"/>
      <c r="GE932" s="29"/>
      <c r="GF932" s="29"/>
      <c r="GG932" s="29"/>
      <c r="GH932" s="29"/>
      <c r="GI932" s="29"/>
      <c r="GJ932" s="29"/>
      <c r="GK932" s="29"/>
      <c r="GL932" s="29"/>
      <c r="GM932" s="29"/>
      <c r="GN932" s="29"/>
      <c r="GO932" s="29"/>
      <c r="GP932" s="29"/>
      <c r="GQ932" s="29"/>
      <c r="GR932" s="29"/>
      <c r="GS932" s="29"/>
      <c r="GT932" s="29"/>
      <c r="GU932" s="29"/>
    </row>
  </sheetData>
  <autoFilter ref="A2:A901" xr:uid="{00000000-0009-0000-0000-000000000000}"/>
  <mergeCells count="125">
    <mergeCell ref="A654:E654"/>
    <mergeCell ref="A668:E668"/>
    <mergeCell ref="A669:E669"/>
    <mergeCell ref="A582:E582"/>
    <mergeCell ref="A425:E425"/>
    <mergeCell ref="A403:E403"/>
    <mergeCell ref="A596:E596"/>
    <mergeCell ref="A610:E610"/>
    <mergeCell ref="A611:E611"/>
    <mergeCell ref="A625:E625"/>
    <mergeCell ref="A639:E639"/>
    <mergeCell ref="A640:E640"/>
    <mergeCell ref="A581:E581"/>
    <mergeCell ref="A551:E551"/>
    <mergeCell ref="A564:E564"/>
    <mergeCell ref="A565:E565"/>
    <mergeCell ref="A580:E580"/>
    <mergeCell ref="A242:E242"/>
    <mergeCell ref="A243:E243"/>
    <mergeCell ref="A321:E321"/>
    <mergeCell ref="A430:E430"/>
    <mergeCell ref="A431:E431"/>
    <mergeCell ref="A441:E441"/>
    <mergeCell ref="A442:E442"/>
    <mergeCell ref="A459:E459"/>
    <mergeCell ref="A488:E488"/>
    <mergeCell ref="A307:E307"/>
    <mergeCell ref="A314:E314"/>
    <mergeCell ref="A315:E315"/>
    <mergeCell ref="A255:E255"/>
    <mergeCell ref="A265:E265"/>
    <mergeCell ref="A282:E282"/>
    <mergeCell ref="A266:E266"/>
    <mergeCell ref="A296:E296"/>
    <mergeCell ref="A391:E391"/>
    <mergeCell ref="A392:E392"/>
    <mergeCell ref="A380:E380"/>
    <mergeCell ref="A414:E414"/>
    <mergeCell ref="A415:E415"/>
    <mergeCell ref="A458:E458"/>
    <mergeCell ref="A471:E471"/>
    <mergeCell ref="A18:D18"/>
    <mergeCell ref="A19:D19"/>
    <mergeCell ref="A74:E74"/>
    <mergeCell ref="A215:E215"/>
    <mergeCell ref="A228:E228"/>
    <mergeCell ref="A229:E229"/>
    <mergeCell ref="A90:E90"/>
    <mergeCell ref="A91:E91"/>
    <mergeCell ref="A97:E97"/>
    <mergeCell ref="A115:E115"/>
    <mergeCell ref="A116:E116"/>
    <mergeCell ref="A56:E56"/>
    <mergeCell ref="A135:E135"/>
    <mergeCell ref="A57:E57"/>
    <mergeCell ref="A20:D20"/>
    <mergeCell ref="A21:D21"/>
    <mergeCell ref="A22:D22"/>
    <mergeCell ref="A23:D23"/>
    <mergeCell ref="A25:E25"/>
    <mergeCell ref="A26:E26"/>
    <mergeCell ref="B932:C932"/>
    <mergeCell ref="A902:E902"/>
    <mergeCell ref="A35:E35"/>
    <mergeCell ref="A36:E36"/>
    <mergeCell ref="A31:E31"/>
    <mergeCell ref="A5:C5"/>
    <mergeCell ref="A2:B2"/>
    <mergeCell ref="C2:E2"/>
    <mergeCell ref="A3:B3"/>
    <mergeCell ref="C3:E3"/>
    <mergeCell ref="C4:E4"/>
    <mergeCell ref="C14:D14"/>
    <mergeCell ref="C6:E6"/>
    <mergeCell ref="C7:E7"/>
    <mergeCell ref="A9:B9"/>
    <mergeCell ref="C9:D9"/>
    <mergeCell ref="A10:B10"/>
    <mergeCell ref="C10:D10"/>
    <mergeCell ref="C11:D11"/>
    <mergeCell ref="A12:C12"/>
    <mergeCell ref="C13:D13"/>
    <mergeCell ref="A29:E29"/>
    <mergeCell ref="A16:E16"/>
    <mergeCell ref="A17:E17"/>
    <mergeCell ref="A924:E924"/>
    <mergeCell ref="A925:E925"/>
    <mergeCell ref="A926:E926"/>
    <mergeCell ref="A923:E923"/>
    <mergeCell ref="A927:E927"/>
    <mergeCell ref="A682:E682"/>
    <mergeCell ref="A695:E695"/>
    <mergeCell ref="A696:E696"/>
    <mergeCell ref="A709:E709"/>
    <mergeCell ref="A723:E723"/>
    <mergeCell ref="A724:E724"/>
    <mergeCell ref="A738:E738"/>
    <mergeCell ref="A739:E739"/>
    <mergeCell ref="A754:E754"/>
    <mergeCell ref="A755:E755"/>
    <mergeCell ref="A771:E771"/>
    <mergeCell ref="A785:E785"/>
    <mergeCell ref="A793:E793"/>
    <mergeCell ref="A839:E839"/>
    <mergeCell ref="A886:E886"/>
    <mergeCell ref="A922:E922"/>
    <mergeCell ref="A914:E914"/>
    <mergeCell ref="A903:E903"/>
    <mergeCell ref="A904:E904"/>
    <mergeCell ref="A917:E917"/>
    <mergeCell ref="A918:E918"/>
    <mergeCell ref="A909:E909"/>
    <mergeCell ref="A911:E911"/>
    <mergeCell ref="A920:E920"/>
    <mergeCell ref="A919:E919"/>
    <mergeCell ref="A921:E921"/>
    <mergeCell ref="A905:E905"/>
    <mergeCell ref="A906:E906"/>
    <mergeCell ref="A907:E907"/>
    <mergeCell ref="A908:E908"/>
    <mergeCell ref="A910:E910"/>
    <mergeCell ref="A912:E912"/>
    <mergeCell ref="A913:E913"/>
    <mergeCell ref="A915:E915"/>
    <mergeCell ref="A916:E916"/>
  </mergeCells>
  <printOptions horizontalCentered="1"/>
  <pageMargins left="0.39370078740157483" right="0.19685039370078741" top="0.39370078740157483" bottom="0.19685039370078741" header="0" footer="0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Техническое задание</vt:lpstr>
      <vt:lpstr>'Техническое задание'!Заголовки_для_печати</vt:lpstr>
      <vt:lpstr>'Техническое задание'!Область_печати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Скопец Юрий Владимирович</dc:creator>
  <cp:lastModifiedBy>Хамидулин Саяр Гаярович</cp:lastModifiedBy>
  <cp:lastPrinted>2021-02-11T12:05:04Z</cp:lastPrinted>
  <dcterms:created xsi:type="dcterms:W3CDTF">2016-07-29T09:11:54Z</dcterms:created>
  <dcterms:modified xsi:type="dcterms:W3CDTF">2023-03-17T07:32:49Z</dcterms:modified>
</cp:coreProperties>
</file>